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4.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Rick\Dropbox\XLS\MODEL\"/>
    </mc:Choice>
  </mc:AlternateContent>
  <xr:revisionPtr revIDLastSave="0" documentId="13_ncr:1_{51AAD528-8489-436B-861A-4BF834B3D062}" xr6:coauthVersionLast="47" xr6:coauthVersionMax="47" xr10:uidLastSave="{00000000-0000-0000-0000-000000000000}"/>
  <bookViews>
    <workbookView xWindow="5145" yWindow="390" windowWidth="21480" windowHeight="21210" activeTab="3" xr2:uid="{00000000-000D-0000-FFFF-FFFF00000000}"/>
  </bookViews>
  <sheets>
    <sheet name="Stuurstang" sheetId="7" r:id="rId1"/>
    <sheet name="Bowden kabel" sheetId="5" r:id="rId2"/>
    <sheet name="P-P Kabels" sheetId="6" r:id="rId3"/>
    <sheet name="Info" sheetId="9" r:id="rId4"/>
    <sheet name="Calc_Tringle" sheetId="10" state="hidden" r:id="rId5"/>
    <sheet name="Calc_Gaine" sheetId="11" state="hidden" r:id="rId6"/>
    <sheet name="Calc_Cable" sheetId="12"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7" l="1"/>
  <c r="I4" i="7"/>
  <c r="I7" i="7"/>
  <c r="I5" i="7"/>
  <c r="I24" i="6"/>
  <c r="I25" i="6" s="1"/>
  <c r="D4" i="12"/>
  <c r="C40" i="12" s="1"/>
  <c r="E4" i="12"/>
  <c r="D40" i="12" s="1"/>
  <c r="L4" i="12"/>
  <c r="M4" i="12"/>
  <c r="P4" i="12"/>
  <c r="Q4" i="12"/>
  <c r="T4" i="12"/>
  <c r="U4" i="12"/>
  <c r="X4" i="12"/>
  <c r="Y4" i="12"/>
  <c r="AB4" i="12"/>
  <c r="AC4" i="12"/>
  <c r="AF4" i="12"/>
  <c r="AG4" i="12"/>
  <c r="AJ4" i="12"/>
  <c r="AK4" i="12"/>
  <c r="AN4" i="12"/>
  <c r="AO4" i="12"/>
  <c r="D5" i="12"/>
  <c r="E5" i="12"/>
  <c r="L5" i="12"/>
  <c r="M5" i="12"/>
  <c r="P5" i="12"/>
  <c r="Q5" i="12"/>
  <c r="T5" i="12"/>
  <c r="U5" i="12"/>
  <c r="X5" i="12"/>
  <c r="Y5" i="12"/>
  <c r="AB5" i="12"/>
  <c r="AC5" i="12"/>
  <c r="AF5" i="12"/>
  <c r="AG5" i="12"/>
  <c r="AJ5" i="12"/>
  <c r="AK5" i="12"/>
  <c r="AN5" i="12"/>
  <c r="AO5" i="12"/>
  <c r="D6" i="12"/>
  <c r="D7" i="12"/>
  <c r="L6" i="12"/>
  <c r="P6" i="12"/>
  <c r="P7" i="12" s="1"/>
  <c r="T6" i="12"/>
  <c r="T7" i="12"/>
  <c r="X6" i="12"/>
  <c r="X7" i="12" s="1"/>
  <c r="AB6" i="12"/>
  <c r="AB7" i="12" s="1"/>
  <c r="AF6" i="12"/>
  <c r="AF7" i="12" s="1"/>
  <c r="AJ6" i="12"/>
  <c r="AJ7" i="12" s="1"/>
  <c r="AN6" i="12"/>
  <c r="AN7" i="12" s="1"/>
  <c r="L7" i="12"/>
  <c r="D8" i="12"/>
  <c r="E8" i="12"/>
  <c r="L8" i="12"/>
  <c r="M8" i="12"/>
  <c r="P8" i="12"/>
  <c r="Q8" i="12"/>
  <c r="T8" i="12"/>
  <c r="U8" i="12"/>
  <c r="X8" i="12"/>
  <c r="Y8" i="12"/>
  <c r="AB8" i="12"/>
  <c r="AC8" i="12"/>
  <c r="AF8" i="12"/>
  <c r="AG8" i="12"/>
  <c r="AJ8" i="12"/>
  <c r="AK8" i="12"/>
  <c r="AN8" i="12"/>
  <c r="AO8" i="12"/>
  <c r="D9" i="12"/>
  <c r="C41" i="12" s="1"/>
  <c r="E9" i="12"/>
  <c r="D41" i="12" s="1"/>
  <c r="L9" i="12"/>
  <c r="M9" i="12"/>
  <c r="P9" i="12"/>
  <c r="Q9" i="12"/>
  <c r="T9" i="12"/>
  <c r="U9" i="12"/>
  <c r="X9" i="12"/>
  <c r="Y9" i="12"/>
  <c r="AB9" i="12"/>
  <c r="AC9" i="12"/>
  <c r="AF9" i="12"/>
  <c r="AG9" i="12"/>
  <c r="AJ9" i="12"/>
  <c r="AK9" i="12"/>
  <c r="AN9" i="12"/>
  <c r="AO9" i="12"/>
  <c r="D10" i="12"/>
  <c r="E10" i="12"/>
  <c r="L10" i="12"/>
  <c r="M10" i="12"/>
  <c r="P10" i="12"/>
  <c r="Q10" i="12"/>
  <c r="T10" i="12"/>
  <c r="U10" i="12"/>
  <c r="X10" i="12"/>
  <c r="Y10" i="12"/>
  <c r="AB10" i="12"/>
  <c r="AC10" i="12"/>
  <c r="AF10" i="12"/>
  <c r="AG10" i="12"/>
  <c r="AJ10" i="12"/>
  <c r="AK10" i="12"/>
  <c r="AN10" i="12"/>
  <c r="AO10" i="12"/>
  <c r="D11" i="12"/>
  <c r="D12" i="12" s="1"/>
  <c r="L11" i="12"/>
  <c r="P11" i="12"/>
  <c r="T11" i="12"/>
  <c r="T12" i="12" s="1"/>
  <c r="X11" i="12"/>
  <c r="X14" i="12" s="1"/>
  <c r="AB11" i="12"/>
  <c r="AB12" i="12" s="1"/>
  <c r="AF11" i="12"/>
  <c r="AJ11" i="12"/>
  <c r="AJ12" i="12" s="1"/>
  <c r="AN11" i="12"/>
  <c r="AN12" i="12" s="1"/>
  <c r="L12" i="12"/>
  <c r="D13" i="12"/>
  <c r="L13" i="12"/>
  <c r="L14" i="12"/>
  <c r="P13" i="12"/>
  <c r="Q16" i="12" s="1"/>
  <c r="T13" i="12"/>
  <c r="X13" i="12"/>
  <c r="AB13" i="12"/>
  <c r="AB14" i="12" s="1"/>
  <c r="AF13" i="12"/>
  <c r="AJ13" i="12"/>
  <c r="AJ16" i="12" s="1"/>
  <c r="AN13" i="12"/>
  <c r="AO16" i="12" s="1"/>
  <c r="L16" i="12"/>
  <c r="X16" i="12"/>
  <c r="Y16" i="12"/>
  <c r="AK16" i="12"/>
  <c r="AN16" i="12"/>
  <c r="AB17" i="12"/>
  <c r="H38" i="12"/>
  <c r="C39" i="12"/>
  <c r="D39" i="12"/>
  <c r="H39" i="12"/>
  <c r="H40" i="12"/>
  <c r="H41" i="12"/>
  <c r="C42" i="12"/>
  <c r="D42" i="12"/>
  <c r="H42" i="12"/>
  <c r="H43" i="12"/>
  <c r="C44" i="12"/>
  <c r="D44" i="12"/>
  <c r="H44" i="12"/>
  <c r="C45" i="12"/>
  <c r="D45" i="12"/>
  <c r="H45" i="12"/>
  <c r="C46" i="12"/>
  <c r="D46" i="12"/>
  <c r="C47" i="12"/>
  <c r="D47" i="12"/>
  <c r="H47" i="12"/>
  <c r="C48" i="12"/>
  <c r="D48" i="12"/>
  <c r="H48" i="12"/>
  <c r="H49" i="12"/>
  <c r="H50" i="12"/>
  <c r="C51" i="12"/>
  <c r="D51" i="12"/>
  <c r="H51" i="12"/>
  <c r="H52" i="12"/>
  <c r="C53" i="12"/>
  <c r="D53" i="12"/>
  <c r="H53" i="12"/>
  <c r="H54" i="12"/>
  <c r="C56" i="12"/>
  <c r="D56" i="12"/>
  <c r="C57" i="12"/>
  <c r="D57" i="12"/>
  <c r="H57" i="12"/>
  <c r="I57" i="12"/>
  <c r="H58" i="12"/>
  <c r="C60" i="12"/>
  <c r="D60" i="12"/>
  <c r="I60" i="12"/>
  <c r="H56" i="12" s="1"/>
  <c r="C62" i="12"/>
  <c r="D62" i="12"/>
  <c r="C65" i="12"/>
  <c r="D65" i="12"/>
  <c r="D4" i="11"/>
  <c r="E4" i="11"/>
  <c r="M4" i="11"/>
  <c r="N4" i="11"/>
  <c r="Q4" i="11"/>
  <c r="R4" i="11"/>
  <c r="U4" i="11"/>
  <c r="V4" i="11"/>
  <c r="Y4" i="11"/>
  <c r="Z4" i="11"/>
  <c r="AC4" i="11"/>
  <c r="AD4" i="11"/>
  <c r="AG4" i="11"/>
  <c r="AH4" i="11"/>
  <c r="AK4" i="11"/>
  <c r="AL4" i="11"/>
  <c r="AO4" i="11"/>
  <c r="AP4" i="11"/>
  <c r="D5" i="11"/>
  <c r="D10" i="11" s="1"/>
  <c r="M5" i="11"/>
  <c r="Q5" i="11"/>
  <c r="U5" i="11"/>
  <c r="Y5" i="11"/>
  <c r="AC5" i="11"/>
  <c r="AG5" i="11"/>
  <c r="AK5" i="11"/>
  <c r="AO5" i="11"/>
  <c r="D6" i="11"/>
  <c r="E6" i="11"/>
  <c r="D7" i="11" s="1"/>
  <c r="M6" i="11"/>
  <c r="N6" i="11"/>
  <c r="Q6" i="11"/>
  <c r="R6" i="11"/>
  <c r="U6" i="11"/>
  <c r="V6" i="11"/>
  <c r="Y6" i="11"/>
  <c r="Z6" i="11"/>
  <c r="AC6" i="11"/>
  <c r="AD6" i="11"/>
  <c r="AG6" i="11"/>
  <c r="AH6" i="11"/>
  <c r="AK6" i="11"/>
  <c r="AL6" i="11"/>
  <c r="AO6" i="11"/>
  <c r="AP6" i="11"/>
  <c r="Y7" i="11"/>
  <c r="AK7" i="11"/>
  <c r="D17" i="11"/>
  <c r="D23" i="11"/>
  <c r="E17" i="11"/>
  <c r="M17" i="11"/>
  <c r="N17" i="11"/>
  <c r="Q17" i="11"/>
  <c r="T31" i="11" s="1"/>
  <c r="R17" i="11"/>
  <c r="U17" i="11"/>
  <c r="V17" i="11"/>
  <c r="Y17" i="11"/>
  <c r="Y23" i="11" s="1"/>
  <c r="Z17" i="11"/>
  <c r="AC17" i="11"/>
  <c r="AD17" i="11"/>
  <c r="AF32" i="11" s="1"/>
  <c r="AG17" i="11"/>
  <c r="AJ31" i="11" s="1"/>
  <c r="AH17" i="11"/>
  <c r="AK17" i="11"/>
  <c r="AL17" i="11"/>
  <c r="AO17" i="11"/>
  <c r="AP17" i="11"/>
  <c r="D18" i="11"/>
  <c r="D19" i="11" s="1"/>
  <c r="E18" i="11"/>
  <c r="M18" i="11"/>
  <c r="M19" i="11"/>
  <c r="N18" i="11"/>
  <c r="Q18" i="11"/>
  <c r="R18" i="11"/>
  <c r="U18" i="11"/>
  <c r="U20" i="11" s="1"/>
  <c r="U19" i="11"/>
  <c r="U23" i="11" s="1"/>
  <c r="V18" i="11"/>
  <c r="Y18" i="11"/>
  <c r="Z18" i="11"/>
  <c r="AC18" i="11"/>
  <c r="AC19" i="11"/>
  <c r="AD18" i="11"/>
  <c r="AD20" i="11" s="1"/>
  <c r="AG18" i="11"/>
  <c r="AH18" i="11"/>
  <c r="AK18" i="11"/>
  <c r="AK19" i="11"/>
  <c r="AL18" i="11"/>
  <c r="AO18" i="11"/>
  <c r="AP18" i="11"/>
  <c r="E19" i="11"/>
  <c r="N19" i="11"/>
  <c r="M23" i="11" s="1"/>
  <c r="Q19" i="11"/>
  <c r="R19" i="11"/>
  <c r="V19" i="11"/>
  <c r="Y19" i="11"/>
  <c r="Z19" i="11"/>
  <c r="AD19" i="11"/>
  <c r="AG19" i="11"/>
  <c r="AH19" i="11"/>
  <c r="AL19" i="11"/>
  <c r="AP19" i="11"/>
  <c r="D20" i="11"/>
  <c r="M20" i="11"/>
  <c r="Q20" i="11"/>
  <c r="R20" i="11"/>
  <c r="V20" i="11"/>
  <c r="Y20" i="11"/>
  <c r="Z20" i="11"/>
  <c r="AC20" i="11"/>
  <c r="AG20" i="11"/>
  <c r="AH20" i="11"/>
  <c r="AL20" i="11"/>
  <c r="AP20" i="11"/>
  <c r="D21" i="11"/>
  <c r="M21" i="11"/>
  <c r="Q21" i="11"/>
  <c r="Q28" i="11" s="1"/>
  <c r="U21" i="11"/>
  <c r="Y21" i="11"/>
  <c r="Y28" i="11"/>
  <c r="AC21" i="11"/>
  <c r="AC28" i="11" s="1"/>
  <c r="AG21" i="11"/>
  <c r="AK21" i="11"/>
  <c r="AO21" i="11"/>
  <c r="AO28" i="11"/>
  <c r="D22" i="11"/>
  <c r="M22" i="11"/>
  <c r="Q22" i="11"/>
  <c r="U22" i="11"/>
  <c r="Y22" i="11"/>
  <c r="AC22" i="11"/>
  <c r="AG22" i="11"/>
  <c r="AK22" i="11"/>
  <c r="AO22" i="11"/>
  <c r="AG23" i="11"/>
  <c r="D24" i="11"/>
  <c r="D28" i="11" s="1"/>
  <c r="M24" i="11"/>
  <c r="Q24" i="11"/>
  <c r="U24" i="11"/>
  <c r="U28" i="11" s="1"/>
  <c r="Y24" i="11"/>
  <c r="AC24" i="11"/>
  <c r="AG24" i="11"/>
  <c r="AG28" i="11" s="1"/>
  <c r="AK24" i="11"/>
  <c r="AO24" i="11"/>
  <c r="M28" i="11"/>
  <c r="O28" i="11"/>
  <c r="S28" i="11"/>
  <c r="W28" i="11"/>
  <c r="AA28" i="11"/>
  <c r="AE28" i="11"/>
  <c r="AI28" i="11"/>
  <c r="AK28" i="11"/>
  <c r="AM28" i="11"/>
  <c r="AQ28" i="11"/>
  <c r="D30" i="11"/>
  <c r="E30" i="11"/>
  <c r="I30" i="11"/>
  <c r="J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X31" i="11"/>
  <c r="AH31" i="11"/>
  <c r="AP31" i="11"/>
  <c r="N32" i="11"/>
  <c r="P32" i="11"/>
  <c r="V32" i="11"/>
  <c r="X32" i="11"/>
  <c r="AH32" i="11"/>
  <c r="AJ32" i="11"/>
  <c r="J43" i="11"/>
  <c r="M43" i="11"/>
  <c r="N43" i="11"/>
  <c r="Q43" i="11"/>
  <c r="R43" i="11"/>
  <c r="U43" i="11"/>
  <c r="V43" i="11"/>
  <c r="Y43" i="11"/>
  <c r="Z43" i="11"/>
  <c r="AC43" i="11"/>
  <c r="AD43" i="11"/>
  <c r="AG43" i="11"/>
  <c r="AH43" i="11"/>
  <c r="AK43" i="11"/>
  <c r="AL43" i="11"/>
  <c r="AO43" i="11"/>
  <c r="AP43" i="11"/>
  <c r="J44" i="11"/>
  <c r="M44" i="11"/>
  <c r="Q44" i="11"/>
  <c r="U44" i="11"/>
  <c r="Y44" i="11"/>
  <c r="AC44" i="11"/>
  <c r="AG44" i="11"/>
  <c r="AK44" i="11"/>
  <c r="AO44" i="11"/>
  <c r="C45" i="11"/>
  <c r="D45" i="11"/>
  <c r="F45" i="11"/>
  <c r="G45" i="11"/>
  <c r="G49" i="11"/>
  <c r="J45" i="11"/>
  <c r="M45" i="11"/>
  <c r="N45" i="11"/>
  <c r="Q45" i="11"/>
  <c r="R45" i="11"/>
  <c r="U45" i="11"/>
  <c r="V45" i="11"/>
  <c r="Y45" i="11"/>
  <c r="Z45" i="11"/>
  <c r="AC45" i="11"/>
  <c r="AD45" i="11"/>
  <c r="AG45" i="11"/>
  <c r="AH45" i="11"/>
  <c r="AK45" i="11"/>
  <c r="AL45" i="11"/>
  <c r="AO45" i="11"/>
  <c r="AP45" i="11"/>
  <c r="C46" i="11"/>
  <c r="G46" i="11"/>
  <c r="J46" i="11"/>
  <c r="U46" i="11"/>
  <c r="Y46" i="11"/>
  <c r="AK46" i="11"/>
  <c r="AO46" i="11"/>
  <c r="C47" i="11"/>
  <c r="F47" i="11"/>
  <c r="F55" i="11" s="1"/>
  <c r="J47" i="11"/>
  <c r="J48" i="11"/>
  <c r="C49" i="11"/>
  <c r="D49" i="11"/>
  <c r="J49" i="11"/>
  <c r="J50" i="11"/>
  <c r="C51" i="11"/>
  <c r="D51" i="11"/>
  <c r="F51" i="11"/>
  <c r="J52" i="11"/>
  <c r="C53" i="11"/>
  <c r="D53" i="11"/>
  <c r="J53" i="11"/>
  <c r="J54" i="11"/>
  <c r="C55" i="11"/>
  <c r="J55" i="11"/>
  <c r="Y49" i="11"/>
  <c r="J56" i="11"/>
  <c r="M56" i="11"/>
  <c r="N56" i="11"/>
  <c r="Q56" i="11"/>
  <c r="R56" i="11"/>
  <c r="U56" i="11"/>
  <c r="V56" i="11"/>
  <c r="Y56" i="11"/>
  <c r="Z56" i="11"/>
  <c r="AC56" i="11"/>
  <c r="AD56" i="11"/>
  <c r="AD71" i="11" s="1"/>
  <c r="AG56" i="11"/>
  <c r="AH56" i="11"/>
  <c r="AK56" i="11"/>
  <c r="AL56" i="11"/>
  <c r="AO56" i="11"/>
  <c r="AP56" i="11"/>
  <c r="C57" i="11"/>
  <c r="J57" i="11"/>
  <c r="AI49" i="11" s="1"/>
  <c r="AI50" i="11" s="1"/>
  <c r="M57" i="11"/>
  <c r="N57" i="11"/>
  <c r="N59" i="11" s="1"/>
  <c r="Q57" i="11"/>
  <c r="R57" i="11"/>
  <c r="R59" i="11"/>
  <c r="U57" i="11"/>
  <c r="V57" i="11"/>
  <c r="Y57" i="11"/>
  <c r="Z57" i="11"/>
  <c r="Z59" i="11"/>
  <c r="AC57" i="11"/>
  <c r="AD57" i="11"/>
  <c r="AG57" i="11"/>
  <c r="AH57" i="11"/>
  <c r="AH59" i="11"/>
  <c r="AK57" i="11"/>
  <c r="AL57" i="11"/>
  <c r="AO57" i="11"/>
  <c r="AP57" i="11"/>
  <c r="AP59" i="11" s="1"/>
  <c r="J58" i="11"/>
  <c r="M58" i="11"/>
  <c r="N58" i="11"/>
  <c r="R58" i="11"/>
  <c r="U58" i="11"/>
  <c r="V58" i="11"/>
  <c r="Y58" i="11"/>
  <c r="Z58" i="11"/>
  <c r="AC58" i="11"/>
  <c r="AC62" i="11" s="1"/>
  <c r="AD58" i="11"/>
  <c r="AH58" i="11"/>
  <c r="AK58" i="11"/>
  <c r="AL58" i="11"/>
  <c r="AO58" i="11"/>
  <c r="AP58" i="11"/>
  <c r="J59" i="11"/>
  <c r="Q59" i="11"/>
  <c r="V59" i="11"/>
  <c r="Y59" i="11"/>
  <c r="AG59" i="11"/>
  <c r="AL59" i="11"/>
  <c r="AO59" i="11"/>
  <c r="M60" i="11"/>
  <c r="M67" i="11" s="1"/>
  <c r="Q60" i="11"/>
  <c r="Q67" i="11" s="1"/>
  <c r="U60" i="11"/>
  <c r="U67" i="11" s="1"/>
  <c r="Y60" i="11"/>
  <c r="Y67" i="11" s="1"/>
  <c r="AC60" i="11"/>
  <c r="AG60" i="11"/>
  <c r="AG67" i="11" s="1"/>
  <c r="AK60" i="11"/>
  <c r="AO60" i="11"/>
  <c r="M61" i="11"/>
  <c r="Q61" i="11"/>
  <c r="U61" i="11"/>
  <c r="Y61" i="11"/>
  <c r="AC61" i="11"/>
  <c r="AG61" i="11"/>
  <c r="AK61" i="11"/>
  <c r="AO61" i="11"/>
  <c r="I62" i="11"/>
  <c r="J62" i="11"/>
  <c r="M63" i="11"/>
  <c r="Q63" i="11"/>
  <c r="U63" i="11"/>
  <c r="Y63" i="11"/>
  <c r="AC63" i="11"/>
  <c r="AG63" i="11"/>
  <c r="AK63" i="11"/>
  <c r="AO63" i="11"/>
  <c r="AO67" i="11" s="1"/>
  <c r="J65" i="11"/>
  <c r="I63" i="11" s="1"/>
  <c r="O67" i="11" s="1"/>
  <c r="S67" i="11"/>
  <c r="W67" i="11"/>
  <c r="AA67" i="11"/>
  <c r="AE67" i="11"/>
  <c r="AI67" i="11"/>
  <c r="AK67" i="11"/>
  <c r="AM67" i="11"/>
  <c r="AQ67"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R70" i="11"/>
  <c r="V71" i="11"/>
  <c r="AL71" i="11"/>
  <c r="AR71" i="11"/>
  <c r="I5" i="10"/>
  <c r="Q6" i="10" s="1"/>
  <c r="D6" i="10"/>
  <c r="C36" i="10"/>
  <c r="I6" i="10"/>
  <c r="AB11" i="10"/>
  <c r="L6" i="10"/>
  <c r="P6" i="10"/>
  <c r="T6" i="10"/>
  <c r="X6" i="10"/>
  <c r="AB6" i="10"/>
  <c r="AF6" i="10"/>
  <c r="AJ6" i="10"/>
  <c r="D7" i="10"/>
  <c r="E7" i="10"/>
  <c r="D38" i="10"/>
  <c r="L7" i="10"/>
  <c r="M7" i="10"/>
  <c r="M9" i="10"/>
  <c r="P7" i="10"/>
  <c r="P9" i="10" s="1"/>
  <c r="Q7" i="10"/>
  <c r="Q9" i="10"/>
  <c r="T7" i="10"/>
  <c r="U7" i="10"/>
  <c r="U9" i="10" s="1"/>
  <c r="X7" i="10"/>
  <c r="Y7" i="10"/>
  <c r="Y9" i="10" s="1"/>
  <c r="AB7" i="10"/>
  <c r="AC7" i="10"/>
  <c r="AC9" i="10"/>
  <c r="AF7" i="10"/>
  <c r="AF9" i="10" s="1"/>
  <c r="AG7" i="10"/>
  <c r="AG9" i="10"/>
  <c r="AJ7" i="10"/>
  <c r="AJ9" i="10" s="1"/>
  <c r="AK7" i="10"/>
  <c r="AK9" i="10" s="1"/>
  <c r="D8" i="10"/>
  <c r="C37" i="10"/>
  <c r="L8" i="10"/>
  <c r="P8" i="10"/>
  <c r="T8" i="10"/>
  <c r="X8" i="10"/>
  <c r="AB8" i="10"/>
  <c r="AF8" i="10"/>
  <c r="AJ8" i="10"/>
  <c r="D9" i="10"/>
  <c r="C39" i="10" s="1"/>
  <c r="L9" i="10"/>
  <c r="T9" i="10"/>
  <c r="X9" i="10"/>
  <c r="AB9" i="10"/>
  <c r="D10" i="10"/>
  <c r="I16" i="10" s="1"/>
  <c r="L10" i="10"/>
  <c r="P10" i="10"/>
  <c r="T10" i="10"/>
  <c r="X10" i="10"/>
  <c r="AB10" i="10"/>
  <c r="AF10" i="10"/>
  <c r="AF16" i="10" s="1"/>
  <c r="AJ10" i="10"/>
  <c r="L11" i="10"/>
  <c r="D13" i="10"/>
  <c r="D18" i="10"/>
  <c r="C40" i="10" s="1"/>
  <c r="E18" i="10"/>
  <c r="D40" i="10" s="1"/>
  <c r="I18" i="10"/>
  <c r="J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L33" i="10"/>
  <c r="P33" i="10"/>
  <c r="T33" i="10"/>
  <c r="X33" i="10"/>
  <c r="AB33" i="10"/>
  <c r="AF33" i="10"/>
  <c r="AJ33" i="10"/>
  <c r="L34" i="10"/>
  <c r="L36" i="10"/>
  <c r="M34" i="10"/>
  <c r="M36" i="10" s="1"/>
  <c r="P34" i="10"/>
  <c r="P36" i="10"/>
  <c r="Q34" i="10"/>
  <c r="Q36" i="10" s="1"/>
  <c r="T34" i="10"/>
  <c r="U34" i="10"/>
  <c r="U36" i="10"/>
  <c r="X34" i="10"/>
  <c r="X36" i="10" s="1"/>
  <c r="Y34" i="10"/>
  <c r="Y36" i="10" s="1"/>
  <c r="AB34" i="10"/>
  <c r="AB36" i="10" s="1"/>
  <c r="AC34" i="10"/>
  <c r="AC36" i="10" s="1"/>
  <c r="AF34" i="10"/>
  <c r="AF36" i="10" s="1"/>
  <c r="AG34" i="10"/>
  <c r="AG36" i="10"/>
  <c r="AJ34" i="10"/>
  <c r="AJ36" i="10" s="1"/>
  <c r="AK34" i="10"/>
  <c r="AK36" i="10"/>
  <c r="C35" i="10"/>
  <c r="D35" i="10"/>
  <c r="G35" i="10"/>
  <c r="I35" i="10"/>
  <c r="J35" i="10"/>
  <c r="L35" i="10"/>
  <c r="P35" i="10"/>
  <c r="Q35" i="10"/>
  <c r="T35" i="10"/>
  <c r="U35" i="10"/>
  <c r="X35" i="10"/>
  <c r="Y35" i="10"/>
  <c r="AB35" i="10"/>
  <c r="AC35" i="10"/>
  <c r="AF35" i="10"/>
  <c r="AG35" i="10"/>
  <c r="AJ35" i="10"/>
  <c r="AK35" i="10"/>
  <c r="G36" i="10"/>
  <c r="G37" i="10"/>
  <c r="P13" i="10"/>
  <c r="L37" i="10"/>
  <c r="P37" i="10"/>
  <c r="T37" i="10"/>
  <c r="X37" i="10"/>
  <c r="AB37" i="10"/>
  <c r="AF37" i="10"/>
  <c r="AF43" i="10" s="1"/>
  <c r="AJ37" i="10"/>
  <c r="C38" i="10"/>
  <c r="G38" i="10"/>
  <c r="T13" i="10" s="1"/>
  <c r="T16" i="10"/>
  <c r="J38" i="10"/>
  <c r="I34" i="10" s="1"/>
  <c r="X38" i="10"/>
  <c r="G39" i="10"/>
  <c r="X40" i="10"/>
  <c r="X13" i="10"/>
  <c r="G40" i="10"/>
  <c r="AB13" i="10"/>
  <c r="AD16" i="10" s="1"/>
  <c r="G41" i="10"/>
  <c r="AF13" i="10"/>
  <c r="G42" i="10"/>
  <c r="L40" i="10" s="1"/>
  <c r="C43" i="10"/>
  <c r="D43" i="10"/>
  <c r="G44" i="10"/>
  <c r="C45" i="10"/>
  <c r="D45" i="10"/>
  <c r="G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G46" i="10"/>
  <c r="G47" i="10"/>
  <c r="C48" i="10"/>
  <c r="D48" i="10"/>
  <c r="G48" i="10"/>
  <c r="G49" i="10"/>
  <c r="G50" i="10"/>
  <c r="G51" i="10"/>
  <c r="AB40" i="10"/>
  <c r="AD43" i="10"/>
  <c r="T40" i="10"/>
  <c r="AF40" i="10"/>
  <c r="T36" i="10"/>
  <c r="AG33" i="10"/>
  <c r="M8" i="10"/>
  <c r="U8" i="10"/>
  <c r="AC8" i="10"/>
  <c r="AK8" i="10"/>
  <c r="T11" i="10"/>
  <c r="AJ11" i="10"/>
  <c r="D11" i="10"/>
  <c r="X11" i="10"/>
  <c r="P40" i="10"/>
  <c r="U6" i="10"/>
  <c r="AK6" i="10"/>
  <c r="AH71" i="11"/>
  <c r="AH70" i="11"/>
  <c r="Z70" i="11"/>
  <c r="AK59" i="11"/>
  <c r="AC59" i="11"/>
  <c r="U59" i="11"/>
  <c r="M59" i="11"/>
  <c r="Y10" i="11"/>
  <c r="Y11" i="11" s="1"/>
  <c r="Y12" i="11" s="1"/>
  <c r="AN71" i="11"/>
  <c r="AF71" i="11"/>
  <c r="X71" i="11"/>
  <c r="D58" i="11"/>
  <c r="G53" i="11"/>
  <c r="AO10" i="11"/>
  <c r="AP11" i="11" s="1"/>
  <c r="AC10" i="11"/>
  <c r="AC11" i="11" s="1"/>
  <c r="I28" i="11"/>
  <c r="AG7" i="11"/>
  <c r="Q7" i="11"/>
  <c r="V31" i="11"/>
  <c r="N31" i="11"/>
  <c r="AC7" i="11"/>
  <c r="Z21" i="12"/>
  <c r="AH21" i="12"/>
  <c r="AI23" i="12" s="1"/>
  <c r="T21" i="12"/>
  <c r="T23" i="12" s="1"/>
  <c r="AB21" i="12"/>
  <c r="AC23" i="12" s="1"/>
  <c r="V21" i="12"/>
  <c r="AD21" i="12"/>
  <c r="P21" i="12"/>
  <c r="P23" i="12" s="1"/>
  <c r="X21" i="12"/>
  <c r="Y23" i="12" s="1"/>
  <c r="AN20" i="12"/>
  <c r="AP20" i="12"/>
  <c r="AQ22" i="12" s="1"/>
  <c r="AL20" i="12"/>
  <c r="AL22" i="12" s="1"/>
  <c r="AJ20" i="12"/>
  <c r="AF20" i="12"/>
  <c r="AH20" i="12"/>
  <c r="AH22" i="12" s="1"/>
  <c r="AD20" i="12"/>
  <c r="AD22" i="12" s="1"/>
  <c r="AB20" i="12"/>
  <c r="X20" i="12"/>
  <c r="Z20" i="12"/>
  <c r="AA22" i="12" s="1"/>
  <c r="P20" i="12"/>
  <c r="P22" i="12" s="1"/>
  <c r="R20" i="12"/>
  <c r="R22" i="12" s="1"/>
  <c r="N20" i="12"/>
  <c r="L20" i="12"/>
  <c r="M22" i="12" s="1"/>
  <c r="AJ14" i="12"/>
  <c r="T14" i="12"/>
  <c r="L15" i="12"/>
  <c r="M16" i="12"/>
  <c r="AH43" i="10"/>
  <c r="AB22" i="12"/>
  <c r="AC22" i="12"/>
  <c r="AE22" i="12"/>
  <c r="Z11" i="11"/>
  <c r="R43" i="10"/>
  <c r="S47" i="10" s="1"/>
  <c r="P43" i="10"/>
  <c r="L22" i="12"/>
  <c r="L24" i="12" s="1"/>
  <c r="AJ22" i="12"/>
  <c r="AK22" i="12"/>
  <c r="O22" i="12"/>
  <c r="N22" i="12"/>
  <c r="AM22" i="12"/>
  <c r="S22" i="12"/>
  <c r="Z22" i="12"/>
  <c r="AI22" i="12"/>
  <c r="AP22" i="12"/>
  <c r="X23" i="12"/>
  <c r="AH23" i="12"/>
  <c r="AO11" i="11"/>
  <c r="AO12" i="11" s="1"/>
  <c r="X22" i="12"/>
  <c r="Y22" i="12"/>
  <c r="AF22" i="12"/>
  <c r="AG22" i="12"/>
  <c r="AF24" i="12" s="1"/>
  <c r="AF25" i="12" s="1"/>
  <c r="AN22" i="12"/>
  <c r="AN24" i="12" s="1"/>
  <c r="AO22" i="12"/>
  <c r="Q23" i="12"/>
  <c r="W23" i="12"/>
  <c r="V23" i="12"/>
  <c r="AA23" i="12"/>
  <c r="Z23" i="12"/>
  <c r="AH46" i="10"/>
  <c r="AI47" i="10"/>
  <c r="AI46" i="10"/>
  <c r="AI48" i="10" s="1"/>
  <c r="R46" i="10"/>
  <c r="S46" i="10"/>
  <c r="AH24" i="12"/>
  <c r="AH25" i="12" s="1"/>
  <c r="Q47" i="10"/>
  <c r="Q49" i="10" s="1"/>
  <c r="P46" i="10"/>
  <c r="Q46" i="10"/>
  <c r="AB24" i="12"/>
  <c r="AB26" i="12" s="1"/>
  <c r="Z16" i="10"/>
  <c r="Z19" i="10" s="1"/>
  <c r="AA21" i="10" s="1"/>
  <c r="AA23" i="10" s="1"/>
  <c r="AH16" i="10"/>
  <c r="E9" i="10"/>
  <c r="D39" i="10" s="1"/>
  <c r="Y8" i="10"/>
  <c r="AG8" i="10"/>
  <c r="Q48" i="10"/>
  <c r="AF39" i="10"/>
  <c r="AI50" i="10" s="1"/>
  <c r="AI51" i="10" s="1"/>
  <c r="Q8" i="10"/>
  <c r="AI20" i="10"/>
  <c r="AA19" i="10"/>
  <c r="AA20" i="10"/>
  <c r="AG6" i="10"/>
  <c r="AJ12" i="10"/>
  <c r="AB38" i="10"/>
  <c r="P11" i="10"/>
  <c r="E8" i="10"/>
  <c r="D37" i="10" s="1"/>
  <c r="AF38" i="10"/>
  <c r="L38" i="10"/>
  <c r="P12" i="10"/>
  <c r="T12" i="10"/>
  <c r="AJ38" i="10"/>
  <c r="T38" i="10"/>
  <c r="AF11" i="10"/>
  <c r="AC6" i="10"/>
  <c r="AB12" i="10" s="1"/>
  <c r="AE23" i="10" s="1"/>
  <c r="Q33" i="10"/>
  <c r="P39" i="10"/>
  <c r="Q50" i="10"/>
  <c r="Q51" i="10" s="1"/>
  <c r="E6" i="10"/>
  <c r="D36" i="10"/>
  <c r="M6" i="10"/>
  <c r="L12" i="10" s="1"/>
  <c r="Y33" i="10"/>
  <c r="X39" i="10"/>
  <c r="U33" i="10"/>
  <c r="T39" i="10" s="1"/>
  <c r="AC33" i="10"/>
  <c r="AB39" i="10"/>
  <c r="AK33" i="10"/>
  <c r="AJ39" i="10" s="1"/>
  <c r="M33" i="10"/>
  <c r="Y6" i="10"/>
  <c r="X12" i="10"/>
  <c r="D12" i="10"/>
  <c r="D17" i="7" s="1"/>
  <c r="AG46" i="10"/>
  <c r="AF46" i="10"/>
  <c r="AG48" i="10" s="1"/>
  <c r="AG50" i="10" s="1"/>
  <c r="AG51" i="10" s="1"/>
  <c r="AG47" i="10"/>
  <c r="AG49" i="10" s="1"/>
  <c r="I19" i="10"/>
  <c r="J19" i="10"/>
  <c r="D46" i="10"/>
  <c r="J20" i="10"/>
  <c r="D16" i="10"/>
  <c r="AA22" i="10"/>
  <c r="X16" i="10"/>
  <c r="Y20" i="10"/>
  <c r="AE20" i="10"/>
  <c r="AE22" i="10" s="1"/>
  <c r="AE19" i="10"/>
  <c r="AD19" i="10"/>
  <c r="X19" i="10"/>
  <c r="Y21" i="10" s="1"/>
  <c r="Y23" i="10" s="1"/>
  <c r="AE47" i="10"/>
  <c r="AD46" i="10"/>
  <c r="AE46" i="10"/>
  <c r="L43" i="10"/>
  <c r="N43" i="10"/>
  <c r="O46" i="10" s="1"/>
  <c r="Z43" i="10"/>
  <c r="X43" i="10"/>
  <c r="AG20" i="10"/>
  <c r="AG19" i="10"/>
  <c r="AG21" i="10" s="1"/>
  <c r="AF19" i="10"/>
  <c r="P16" i="10"/>
  <c r="Q20" i="10" s="1"/>
  <c r="R16" i="10"/>
  <c r="T19" i="10"/>
  <c r="U19" i="10"/>
  <c r="U20" i="10"/>
  <c r="S48" i="10"/>
  <c r="S49" i="10" s="1"/>
  <c r="V16" i="10"/>
  <c r="AJ13" i="10"/>
  <c r="AB16" i="10"/>
  <c r="AC19" i="10" s="1"/>
  <c r="AB43" i="10"/>
  <c r="AI49" i="10"/>
  <c r="M35" i="10"/>
  <c r="L39" i="10" s="1"/>
  <c r="P38" i="10"/>
  <c r="Y19" i="10"/>
  <c r="C46" i="10"/>
  <c r="J21" i="10"/>
  <c r="J23" i="10"/>
  <c r="U21" i="10"/>
  <c r="U23" i="10" s="1"/>
  <c r="P19" i="10"/>
  <c r="Q21" i="10" s="1"/>
  <c r="Q23" i="10" s="1"/>
  <c r="Q19" i="10"/>
  <c r="Z46" i="10"/>
  <c r="AA48" i="10" s="1"/>
  <c r="AA49" i="10" s="1"/>
  <c r="AA46" i="10"/>
  <c r="AA47" i="10"/>
  <c r="AE48" i="10"/>
  <c r="AE50" i="10"/>
  <c r="AE51" i="10" s="1"/>
  <c r="AB19" i="10"/>
  <c r="AC21" i="10" s="1"/>
  <c r="AC23" i="10" s="1"/>
  <c r="N46" i="10"/>
  <c r="O48" i="10" s="1"/>
  <c r="O47" i="10"/>
  <c r="AC47" i="10"/>
  <c r="AC46" i="10"/>
  <c r="AB46" i="10"/>
  <c r="AC48" i="10" s="1"/>
  <c r="M47" i="10"/>
  <c r="AE21" i="10"/>
  <c r="W20" i="10"/>
  <c r="W22" i="10" s="1"/>
  <c r="V19" i="10"/>
  <c r="W21" i="10" s="1"/>
  <c r="W23" i="10" s="1"/>
  <c r="W19" i="10"/>
  <c r="R19" i="10"/>
  <c r="Y46" i="10"/>
  <c r="Y48" i="10" s="1"/>
  <c r="Y49" i="10" s="1"/>
  <c r="X46" i="10"/>
  <c r="Y47" i="10"/>
  <c r="AH54" i="10"/>
  <c r="AH56" i="10" s="1"/>
  <c r="J22" i="10"/>
  <c r="J24" i="10"/>
  <c r="AA50" i="10"/>
  <c r="AA51" i="10" s="1"/>
  <c r="AE49" i="10"/>
  <c r="U22" i="10"/>
  <c r="AE24" i="10"/>
  <c r="AD27" i="10" s="1"/>
  <c r="E11" i="11" l="1"/>
  <c r="D50" i="11" s="1"/>
  <c r="D11" i="11"/>
  <c r="D12" i="11" s="1"/>
  <c r="D13" i="11" s="1"/>
  <c r="D27" i="11" s="1"/>
  <c r="AI51" i="11"/>
  <c r="AD11" i="11"/>
  <c r="AC12" i="11" s="1"/>
  <c r="AC13" i="11" s="1"/>
  <c r="AI10" i="11"/>
  <c r="O49" i="11"/>
  <c r="S10" i="11"/>
  <c r="AM10" i="11"/>
  <c r="AA49" i="11"/>
  <c r="AB50" i="11" s="1"/>
  <c r="AJ50" i="11"/>
  <c r="W10" i="11"/>
  <c r="U10" i="11"/>
  <c r="AG10" i="11"/>
  <c r="AH11" i="11" s="1"/>
  <c r="W49" i="11"/>
  <c r="Q10" i="11"/>
  <c r="AK10" i="11"/>
  <c r="AC67" i="11"/>
  <c r="AM49" i="11"/>
  <c r="AE49" i="11"/>
  <c r="Q49" i="11"/>
  <c r="M49" i="11"/>
  <c r="I10" i="11"/>
  <c r="AE10" i="11"/>
  <c r="AQ10" i="11"/>
  <c r="AA10" i="11"/>
  <c r="AK49" i="11"/>
  <c r="AG49" i="11"/>
  <c r="AC49" i="11"/>
  <c r="U49" i="11"/>
  <c r="S49" i="11"/>
  <c r="I36" i="10"/>
  <c r="AN15" i="12"/>
  <c r="AC16" i="12"/>
  <c r="AJ15" i="12"/>
  <c r="P16" i="12"/>
  <c r="AB16" i="12"/>
  <c r="AB15" i="12"/>
  <c r="AN14" i="12"/>
  <c r="AN17" i="12"/>
  <c r="AN26" i="12" s="1"/>
  <c r="AN27" i="12" s="1"/>
  <c r="D14" i="12"/>
  <c r="AJ17" i="12"/>
  <c r="T17" i="12"/>
  <c r="L17" i="12"/>
  <c r="L26" i="12" s="1"/>
  <c r="L27" i="12" s="1"/>
  <c r="AN25" i="12"/>
  <c r="L25" i="12"/>
  <c r="AB25" i="12"/>
  <c r="AB27" i="12" s="1"/>
  <c r="U23" i="12"/>
  <c r="X24" i="12"/>
  <c r="X25" i="12" s="1"/>
  <c r="Q22" i="12"/>
  <c r="P24" i="12" s="1"/>
  <c r="P25" i="12" s="1"/>
  <c r="AJ24" i="12"/>
  <c r="AJ25" i="12" s="1"/>
  <c r="Z24" i="12"/>
  <c r="Z25" i="12" s="1"/>
  <c r="V24" i="12"/>
  <c r="V25" i="12" s="1"/>
  <c r="AE28" i="10"/>
  <c r="AD29" i="10"/>
  <c r="H40" i="10" s="1"/>
  <c r="AD28" i="10"/>
  <c r="AA53" i="10"/>
  <c r="Z54" i="10"/>
  <c r="Z53" i="10"/>
  <c r="O49" i="10"/>
  <c r="O50" i="10"/>
  <c r="AI22" i="10"/>
  <c r="Y50" i="10"/>
  <c r="Y51" i="10" s="1"/>
  <c r="I26" i="10"/>
  <c r="C47" i="10" s="1"/>
  <c r="J26" i="10"/>
  <c r="D47" i="10" s="1"/>
  <c r="I27" i="10"/>
  <c r="AG23" i="10"/>
  <c r="E19" i="10"/>
  <c r="D41" i="10" s="1"/>
  <c r="D19" i="10"/>
  <c r="E20" i="10"/>
  <c r="AF12" i="10"/>
  <c r="AI55" i="10"/>
  <c r="AH55" i="10"/>
  <c r="AH57" i="10" s="1"/>
  <c r="U24" i="10"/>
  <c r="S19" i="10"/>
  <c r="S21" i="10" s="1"/>
  <c r="S23" i="10" s="1"/>
  <c r="S20" i="10"/>
  <c r="AG22" i="10"/>
  <c r="M46" i="10"/>
  <c r="L46" i="10"/>
  <c r="M48" i="10" s="1"/>
  <c r="M50" i="10" s="1"/>
  <c r="Y24" i="10"/>
  <c r="Y22" i="10"/>
  <c r="Q53" i="10"/>
  <c r="P53" i="10"/>
  <c r="P54" i="10"/>
  <c r="AI53" i="10"/>
  <c r="AH53" i="10"/>
  <c r="AE26" i="10"/>
  <c r="AD26" i="10"/>
  <c r="AC49" i="10"/>
  <c r="AC50" i="10"/>
  <c r="AC51" i="10" s="1"/>
  <c r="AA24" i="10"/>
  <c r="W24" i="10"/>
  <c r="AD53" i="10"/>
  <c r="AE53" i="10"/>
  <c r="AD54" i="10"/>
  <c r="AL16" i="10"/>
  <c r="AJ16" i="10"/>
  <c r="Q22" i="10"/>
  <c r="Q24" i="10" s="1"/>
  <c r="AG53" i="10"/>
  <c r="AF54" i="10"/>
  <c r="AF53" i="10"/>
  <c r="AI19" i="10"/>
  <c r="AH19" i="10"/>
  <c r="AI21" i="10" s="1"/>
  <c r="AI23" i="10" s="1"/>
  <c r="AF12" i="12"/>
  <c r="AF15" i="12" s="1"/>
  <c r="AF14" i="12"/>
  <c r="P12" i="12"/>
  <c r="P15" i="12" s="1"/>
  <c r="P14" i="12"/>
  <c r="AC20" i="10"/>
  <c r="AC22" i="10" s="1"/>
  <c r="AC24" i="10" s="1"/>
  <c r="S50" i="10"/>
  <c r="S51" i="10" s="1"/>
  <c r="V26" i="12"/>
  <c r="V28" i="12" s="1"/>
  <c r="N71" i="11"/>
  <c r="P71" i="11"/>
  <c r="Y50" i="11"/>
  <c r="Z50" i="11"/>
  <c r="AB23" i="12"/>
  <c r="U11" i="11"/>
  <c r="U12" i="11" s="1"/>
  <c r="U13" i="11" s="1"/>
  <c r="U27" i="11" s="1"/>
  <c r="V33" i="11" s="1"/>
  <c r="V34" i="11" s="1"/>
  <c r="V11" i="11"/>
  <c r="AG11" i="11"/>
  <c r="W50" i="11"/>
  <c r="W51" i="11" s="1"/>
  <c r="W52" i="11" s="1"/>
  <c r="X50" i="11"/>
  <c r="AK62" i="11"/>
  <c r="AL70" i="11"/>
  <c r="U62" i="11"/>
  <c r="X70" i="11"/>
  <c r="V70" i="11"/>
  <c r="AA50" i="11"/>
  <c r="AM50" i="11"/>
  <c r="AM51" i="11" s="1"/>
  <c r="AM52" i="11" s="1"/>
  <c r="AN50" i="11"/>
  <c r="F53" i="11"/>
  <c r="C58" i="11"/>
  <c r="F46" i="11"/>
  <c r="F48" i="11"/>
  <c r="F49" i="11"/>
  <c r="I61" i="11"/>
  <c r="M10" i="11"/>
  <c r="O10" i="11"/>
  <c r="Q23" i="11"/>
  <c r="R31" i="11"/>
  <c r="AI52" i="11"/>
  <c r="Y13" i="11"/>
  <c r="Y27" i="11" s="1"/>
  <c r="AO13" i="11"/>
  <c r="T43" i="10"/>
  <c r="V43" i="10"/>
  <c r="G47" i="11"/>
  <c r="E31" i="11"/>
  <c r="E20" i="11"/>
  <c r="G48" i="11" s="1"/>
  <c r="J31" i="11"/>
  <c r="AL32" i="11"/>
  <c r="AL31" i="11"/>
  <c r="AN32" i="11"/>
  <c r="AC23" i="11"/>
  <c r="AD31" i="11"/>
  <c r="AF31" i="11"/>
  <c r="AD32" i="11"/>
  <c r="AQ49" i="11"/>
  <c r="AO49" i="11"/>
  <c r="AL50" i="11"/>
  <c r="AK50" i="11"/>
  <c r="AN70" i="11"/>
  <c r="AO62" i="11"/>
  <c r="AP71" i="11"/>
  <c r="Z71" i="11"/>
  <c r="Y62" i="11"/>
  <c r="AB70" i="11"/>
  <c r="AB71" i="11"/>
  <c r="N70" i="11"/>
  <c r="P70" i="11"/>
  <c r="M62" i="11"/>
  <c r="AO19" i="11"/>
  <c r="AO23" i="11" s="1"/>
  <c r="AP32" i="11"/>
  <c r="AR32" i="11"/>
  <c r="AR31" i="11"/>
  <c r="AO20" i="11"/>
  <c r="P31" i="11"/>
  <c r="N20" i="11"/>
  <c r="I21" i="12"/>
  <c r="AP21" i="12"/>
  <c r="AJ21" i="12"/>
  <c r="AL21" i="12"/>
  <c r="AF21" i="12"/>
  <c r="R21" i="12"/>
  <c r="L21" i="12"/>
  <c r="N21" i="12"/>
  <c r="D21" i="12"/>
  <c r="AN21" i="12"/>
  <c r="AD23" i="12"/>
  <c r="AE23" i="12"/>
  <c r="V20" i="12"/>
  <c r="T20" i="12"/>
  <c r="AF16" i="12"/>
  <c r="AG16" i="12"/>
  <c r="T16" i="12"/>
  <c r="U16" i="12"/>
  <c r="E16" i="12"/>
  <c r="D43" i="12" s="1"/>
  <c r="D16" i="12"/>
  <c r="D15" i="12"/>
  <c r="X17" i="12"/>
  <c r="X26" i="12" s="1"/>
  <c r="X27" i="12" s="1"/>
  <c r="D17" i="12"/>
  <c r="AD24" i="12"/>
  <c r="L13" i="10"/>
  <c r="AJ40" i="10"/>
  <c r="AL43" i="10" s="1"/>
  <c r="Q58" i="11"/>
  <c r="Q62" i="11" s="1"/>
  <c r="T70" i="11"/>
  <c r="T71" i="11"/>
  <c r="R70" i="11"/>
  <c r="R71" i="11"/>
  <c r="R32" i="11"/>
  <c r="T32" i="11"/>
  <c r="E32" i="11"/>
  <c r="J32" i="11"/>
  <c r="C50" i="11"/>
  <c r="T15" i="12"/>
  <c r="AG58" i="11"/>
  <c r="AJ70" i="11"/>
  <c r="AJ71" i="11"/>
  <c r="AG62" i="11"/>
  <c r="AK23" i="11"/>
  <c r="AO7" i="11"/>
  <c r="D46" i="11"/>
  <c r="M46" i="11"/>
  <c r="AC46" i="11"/>
  <c r="U7" i="11"/>
  <c r="Q46" i="11"/>
  <c r="AG46" i="11"/>
  <c r="X12" i="12"/>
  <c r="X15" i="12" s="1"/>
  <c r="D20" i="12"/>
  <c r="I20" i="12"/>
  <c r="AF17" i="12"/>
  <c r="P17" i="12"/>
  <c r="AP70" i="11"/>
  <c r="AD70" i="11"/>
  <c r="AF70" i="11"/>
  <c r="AD59" i="11"/>
  <c r="AK20" i="11"/>
  <c r="AN31" i="11"/>
  <c r="Z31" i="11"/>
  <c r="Z32" i="11"/>
  <c r="AB31" i="11"/>
  <c r="AB32" i="11"/>
  <c r="D55" i="11"/>
  <c r="D47" i="11"/>
  <c r="D57" i="11" s="1"/>
  <c r="M7" i="11"/>
  <c r="AA51" i="11" l="1"/>
  <c r="AA52" i="11" s="1"/>
  <c r="AH50" i="11"/>
  <c r="AG50" i="11"/>
  <c r="AF11" i="11"/>
  <c r="AE11" i="11"/>
  <c r="AE50" i="11"/>
  <c r="AE51" i="11" s="1"/>
  <c r="AE52" i="11" s="1"/>
  <c r="AE66" i="11" s="1"/>
  <c r="AF72" i="11" s="1"/>
  <c r="AF73" i="11" s="1"/>
  <c r="AF50" i="11"/>
  <c r="Q11" i="11"/>
  <c r="Q12" i="11" s="1"/>
  <c r="Q13" i="11" s="1"/>
  <c r="R11" i="11"/>
  <c r="X11" i="11"/>
  <c r="W11" i="11"/>
  <c r="S11" i="11"/>
  <c r="T11" i="11"/>
  <c r="T50" i="11"/>
  <c r="S50" i="11"/>
  <c r="I11" i="11"/>
  <c r="J11" i="11"/>
  <c r="D54" i="11" s="1"/>
  <c r="P50" i="11"/>
  <c r="O50" i="11"/>
  <c r="V50" i="11"/>
  <c r="U50" i="11"/>
  <c r="U51" i="11" s="1"/>
  <c r="U52" i="11" s="1"/>
  <c r="U66" i="11" s="1"/>
  <c r="V72" i="11" s="1"/>
  <c r="V73" i="11" s="1"/>
  <c r="AB11" i="11"/>
  <c r="AA11" i="11"/>
  <c r="N50" i="11"/>
  <c r="M50" i="11"/>
  <c r="AI11" i="11"/>
  <c r="AI12" i="11" s="1"/>
  <c r="AI13" i="11" s="1"/>
  <c r="AI27" i="11" s="1"/>
  <c r="AJ33" i="11" s="1"/>
  <c r="AJ34" i="11" s="1"/>
  <c r="AJ36" i="11" s="1"/>
  <c r="AJ11" i="11"/>
  <c r="Y51" i="11"/>
  <c r="Y52" i="11" s="1"/>
  <c r="AD50" i="11"/>
  <c r="AC50" i="11"/>
  <c r="AQ11" i="11"/>
  <c r="AR11" i="11"/>
  <c r="R50" i="11"/>
  <c r="Q50" i="11"/>
  <c r="AL11" i="11"/>
  <c r="AK11" i="11"/>
  <c r="AN11" i="11"/>
  <c r="AM11" i="11"/>
  <c r="AB28" i="12"/>
  <c r="AB29" i="12"/>
  <c r="AC32" i="12" s="1"/>
  <c r="AC30" i="12"/>
  <c r="AB30" i="12"/>
  <c r="AJ26" i="12"/>
  <c r="AJ27" i="12" s="1"/>
  <c r="AJ28" i="12" s="1"/>
  <c r="Z26" i="12"/>
  <c r="Z28" i="12" s="1"/>
  <c r="Z27" i="12" s="1"/>
  <c r="P26" i="12"/>
  <c r="P27" i="12" s="1"/>
  <c r="AD30" i="10"/>
  <c r="AO27" i="11"/>
  <c r="AP33" i="11" s="1"/>
  <c r="AP34" i="11" s="1"/>
  <c r="AB26" i="10"/>
  <c r="AC26" i="10"/>
  <c r="AB27" i="10"/>
  <c r="U37" i="11"/>
  <c r="U36" i="11"/>
  <c r="V36" i="11"/>
  <c r="V27" i="12"/>
  <c r="V29" i="12"/>
  <c r="V31" i="12"/>
  <c r="W31" i="12"/>
  <c r="W22" i="12"/>
  <c r="V22" i="12"/>
  <c r="R23" i="12"/>
  <c r="S23" i="12"/>
  <c r="E33" i="11"/>
  <c r="E34" i="11" s="1"/>
  <c r="W47" i="10"/>
  <c r="V46" i="10"/>
  <c r="W46" i="10"/>
  <c r="Z33" i="11"/>
  <c r="Z34" i="11" s="1"/>
  <c r="AM46" i="10"/>
  <c r="AM47" i="10"/>
  <c r="AL46" i="10"/>
  <c r="AM48" i="10" s="1"/>
  <c r="AM50" i="10" s="1"/>
  <c r="AD25" i="12"/>
  <c r="AD26" i="12"/>
  <c r="C43" i="12"/>
  <c r="AJ43" i="10"/>
  <c r="E23" i="12"/>
  <c r="D55" i="12" s="1"/>
  <c r="D23" i="12"/>
  <c r="AF23" i="12"/>
  <c r="AG23" i="12"/>
  <c r="I23" i="12"/>
  <c r="J23" i="12"/>
  <c r="D58" i="12" s="1"/>
  <c r="AO50" i="11"/>
  <c r="AP50" i="11"/>
  <c r="U46" i="10"/>
  <c r="U47" i="10"/>
  <c r="T46" i="10"/>
  <c r="U48" i="10" s="1"/>
  <c r="U50" i="10" s="1"/>
  <c r="P11" i="11"/>
  <c r="O11" i="11"/>
  <c r="R53" i="10"/>
  <c r="S53" i="10"/>
  <c r="R54" i="10"/>
  <c r="AI24" i="10"/>
  <c r="AE55" i="10"/>
  <c r="AD55" i="10"/>
  <c r="AD57" i="10" s="1"/>
  <c r="AD56" i="10"/>
  <c r="AB54" i="10"/>
  <c r="AB53" i="10"/>
  <c r="AC53" i="10"/>
  <c r="T27" i="10"/>
  <c r="U26" i="10"/>
  <c r="T26" i="10"/>
  <c r="C41" i="10"/>
  <c r="E21" i="10"/>
  <c r="E23" i="10" s="1"/>
  <c r="D22" i="12"/>
  <c r="E22" i="12"/>
  <c r="D49" i="12" s="1"/>
  <c r="AI66" i="11"/>
  <c r="AJ72" i="11" s="1"/>
  <c r="AJ73" i="11" s="1"/>
  <c r="AK30" i="12"/>
  <c r="AJ30" i="12"/>
  <c r="W26" i="10"/>
  <c r="V26" i="10"/>
  <c r="V27" i="10"/>
  <c r="P28" i="12"/>
  <c r="P30" i="12"/>
  <c r="Q30" i="12"/>
  <c r="P29" i="12"/>
  <c r="AF26" i="12"/>
  <c r="AF27" i="12" s="1"/>
  <c r="AH26" i="12"/>
  <c r="AH28" i="12" s="1"/>
  <c r="L16" i="10"/>
  <c r="N16" i="10"/>
  <c r="N23" i="12"/>
  <c r="N24" i="12" s="1"/>
  <c r="N26" i="12" s="1"/>
  <c r="O23" i="12"/>
  <c r="AL23" i="12"/>
  <c r="AM23" i="12"/>
  <c r="AA66" i="11"/>
  <c r="AB72" i="11" s="1"/>
  <c r="AB73" i="11" s="1"/>
  <c r="Y66" i="11"/>
  <c r="Z72" i="11" s="1"/>
  <c r="Z73" i="11" s="1"/>
  <c r="AQ50" i="11"/>
  <c r="AR50" i="11"/>
  <c r="AC27" i="11"/>
  <c r="AD33" i="11" s="1"/>
  <c r="AD34" i="11" s="1"/>
  <c r="M11" i="11"/>
  <c r="M12" i="11" s="1"/>
  <c r="M13" i="11" s="1"/>
  <c r="M27" i="11" s="1"/>
  <c r="N33" i="11" s="1"/>
  <c r="N34" i="11" s="1"/>
  <c r="N11" i="11"/>
  <c r="AM66" i="11"/>
  <c r="AN72" i="11" s="1"/>
  <c r="AN73" i="11" s="1"/>
  <c r="AG12" i="11"/>
  <c r="AG13" i="11" s="1"/>
  <c r="AG27" i="11" s="1"/>
  <c r="AH33" i="11" s="1"/>
  <c r="AH34" i="11" s="1"/>
  <c r="L30" i="12"/>
  <c r="M30" i="12"/>
  <c r="L28" i="12"/>
  <c r="L29" i="12"/>
  <c r="P27" i="10"/>
  <c r="P26" i="10"/>
  <c r="Q26" i="10"/>
  <c r="AO23" i="12"/>
  <c r="AN23" i="12"/>
  <c r="AQ23" i="12"/>
  <c r="AP23" i="12"/>
  <c r="AI37" i="11"/>
  <c r="AI36" i="11"/>
  <c r="W66" i="11"/>
  <c r="X72" i="11" s="1"/>
  <c r="X73" i="11" s="1"/>
  <c r="AF56" i="10"/>
  <c r="H49" i="10" s="1"/>
  <c r="AF55" i="10"/>
  <c r="AG55" i="10"/>
  <c r="AM20" i="10"/>
  <c r="AL19" i="10"/>
  <c r="AM19" i="10"/>
  <c r="Z27" i="10"/>
  <c r="AA26" i="10"/>
  <c r="Z26" i="10"/>
  <c r="I28" i="10"/>
  <c r="J28" i="10"/>
  <c r="D49" i="10" s="1"/>
  <c r="I29" i="10"/>
  <c r="D19" i="7" s="1"/>
  <c r="H35" i="10" s="1"/>
  <c r="J34" i="10" s="1"/>
  <c r="I22" i="12"/>
  <c r="J22" i="12"/>
  <c r="D64" i="12" s="1"/>
  <c r="X30" i="12"/>
  <c r="Y30" i="12"/>
  <c r="X29" i="12"/>
  <c r="X28" i="12"/>
  <c r="T22" i="12"/>
  <c r="U22" i="12"/>
  <c r="L23" i="12"/>
  <c r="M23" i="12"/>
  <c r="AJ23" i="12"/>
  <c r="AK23" i="12"/>
  <c r="AK51" i="11"/>
  <c r="AK52" i="11" s="1"/>
  <c r="AK66" i="11" s="1"/>
  <c r="AL72" i="11" s="1"/>
  <c r="AL73" i="11" s="1"/>
  <c r="G51" i="11"/>
  <c r="G55" i="11"/>
  <c r="Q27" i="11"/>
  <c r="R33" i="11" s="1"/>
  <c r="R34" i="11" s="1"/>
  <c r="AN28" i="12"/>
  <c r="AN30" i="12"/>
  <c r="AO30" i="12"/>
  <c r="AN29" i="12"/>
  <c r="AJ19" i="10"/>
  <c r="AK20" i="10"/>
  <c r="AK19" i="10"/>
  <c r="AB32" i="12"/>
  <c r="AD34" i="12"/>
  <c r="I42" i="12" s="1"/>
  <c r="I50" i="12" s="1"/>
  <c r="Q55" i="10"/>
  <c r="P55" i="10"/>
  <c r="P56" i="10"/>
  <c r="H45" i="10" s="1"/>
  <c r="Y26" i="10"/>
  <c r="X27" i="10"/>
  <c r="X26" i="10"/>
  <c r="S22" i="10"/>
  <c r="S24" i="10" s="1"/>
  <c r="M49" i="10"/>
  <c r="M51" i="10" s="1"/>
  <c r="AG24" i="10"/>
  <c r="X54" i="10"/>
  <c r="Y53" i="10"/>
  <c r="X53" i="10"/>
  <c r="O51" i="10"/>
  <c r="AA55" i="10"/>
  <c r="Z55" i="10"/>
  <c r="Z56" i="10"/>
  <c r="AF75" i="11" l="1"/>
  <c r="AE75" i="11"/>
  <c r="AE76" i="11"/>
  <c r="AK12" i="11"/>
  <c r="AK13" i="11" s="1"/>
  <c r="AK27" i="11" s="1"/>
  <c r="AL33" i="11" s="1"/>
  <c r="AL34" i="11" s="1"/>
  <c r="AK37" i="11" s="1"/>
  <c r="AQ12" i="11"/>
  <c r="AQ13" i="11" s="1"/>
  <c r="AQ27" i="11" s="1"/>
  <c r="AR33" i="11" s="1"/>
  <c r="AR34" i="11" s="1"/>
  <c r="M51" i="11"/>
  <c r="M52" i="11" s="1"/>
  <c r="M66" i="11" s="1"/>
  <c r="N72" i="11" s="1"/>
  <c r="N73" i="11" s="1"/>
  <c r="S12" i="11"/>
  <c r="S13" i="11" s="1"/>
  <c r="S27" i="11" s="1"/>
  <c r="T33" i="11" s="1"/>
  <c r="T34" i="11" s="1"/>
  <c r="AE12" i="11"/>
  <c r="AE13" i="11" s="1"/>
  <c r="AE27" i="11" s="1"/>
  <c r="AF33" i="11" s="1"/>
  <c r="AF34" i="11" s="1"/>
  <c r="AE36" i="11" s="1"/>
  <c r="O12" i="11"/>
  <c r="O13" i="11" s="1"/>
  <c r="O27" i="11" s="1"/>
  <c r="P33" i="11" s="1"/>
  <c r="P34" i="11" s="1"/>
  <c r="O37" i="11" s="1"/>
  <c r="AA12" i="11"/>
  <c r="AA13" i="11" s="1"/>
  <c r="AA27" i="11" s="1"/>
  <c r="AB33" i="11" s="1"/>
  <c r="AB34" i="11" s="1"/>
  <c r="C54" i="11"/>
  <c r="F60" i="11" s="1"/>
  <c r="I12" i="11"/>
  <c r="I13" i="11" s="1"/>
  <c r="I27" i="11" s="1"/>
  <c r="J33" i="11" s="1"/>
  <c r="J34" i="11" s="1"/>
  <c r="I36" i="11" s="1"/>
  <c r="F54" i="11" s="1"/>
  <c r="AM12" i="11"/>
  <c r="AM13" i="11" s="1"/>
  <c r="AM27" i="11" s="1"/>
  <c r="AN33" i="11" s="1"/>
  <c r="AN34" i="11" s="1"/>
  <c r="AN36" i="11" s="1"/>
  <c r="Q51" i="11"/>
  <c r="Q52" i="11" s="1"/>
  <c r="Q66" i="11" s="1"/>
  <c r="R72" i="11" s="1"/>
  <c r="R73" i="11" s="1"/>
  <c r="AC51" i="11"/>
  <c r="AC52" i="11" s="1"/>
  <c r="AC66" i="11" s="1"/>
  <c r="AD72" i="11" s="1"/>
  <c r="AD73" i="11" s="1"/>
  <c r="O51" i="11"/>
  <c r="O52" i="11" s="1"/>
  <c r="O66" i="11" s="1"/>
  <c r="P72" i="11" s="1"/>
  <c r="P73" i="11" s="1"/>
  <c r="O75" i="11" s="1"/>
  <c r="S51" i="11"/>
  <c r="S52" i="11" s="1"/>
  <c r="S66" i="11" s="1"/>
  <c r="T72" i="11" s="1"/>
  <c r="T73" i="11" s="1"/>
  <c r="S75" i="11" s="1"/>
  <c r="W12" i="11"/>
  <c r="W13" i="11" s="1"/>
  <c r="W27" i="11" s="1"/>
  <c r="X33" i="11" s="1"/>
  <c r="X34" i="11" s="1"/>
  <c r="AG51" i="11"/>
  <c r="AG52" i="11" s="1"/>
  <c r="AG66" i="11" s="1"/>
  <c r="AH72" i="11" s="1"/>
  <c r="AH73" i="11" s="1"/>
  <c r="AD28" i="12"/>
  <c r="AD31" i="12" s="1"/>
  <c r="AA31" i="12"/>
  <c r="Z31" i="12"/>
  <c r="Z29" i="12"/>
  <c r="AA32" i="12" s="1"/>
  <c r="AL24" i="12"/>
  <c r="AJ29" i="12"/>
  <c r="AK32" i="12" s="1"/>
  <c r="AP24" i="12"/>
  <c r="T24" i="12"/>
  <c r="T26" i="12" s="1"/>
  <c r="AC31" i="12"/>
  <c r="AB31" i="12"/>
  <c r="AF57" i="10"/>
  <c r="P57" i="10"/>
  <c r="S26" i="10"/>
  <c r="R26" i="10"/>
  <c r="R27" i="10"/>
  <c r="AM37" i="11"/>
  <c r="AM36" i="11"/>
  <c r="V75" i="11"/>
  <c r="U75" i="11"/>
  <c r="U76" i="11"/>
  <c r="AN75" i="11"/>
  <c r="AM75" i="11"/>
  <c r="AM76" i="11"/>
  <c r="AK75" i="11"/>
  <c r="AK76" i="11"/>
  <c r="AL75" i="11"/>
  <c r="AE37" i="11"/>
  <c r="AA75" i="11"/>
  <c r="AA76" i="11"/>
  <c r="AB75" i="11"/>
  <c r="AI75" i="11"/>
  <c r="AI76" i="11"/>
  <c r="AJ75" i="11"/>
  <c r="M53" i="10"/>
  <c r="L54" i="10"/>
  <c r="L53" i="10"/>
  <c r="Q37" i="11"/>
  <c r="R36" i="11"/>
  <c r="Q36" i="11"/>
  <c r="AL36" i="11"/>
  <c r="P36" i="11"/>
  <c r="AC76" i="11"/>
  <c r="AC75" i="11"/>
  <c r="AD75" i="11"/>
  <c r="L31" i="12"/>
  <c r="M31" i="12"/>
  <c r="AC36" i="11"/>
  <c r="AD36" i="11"/>
  <c r="AC37" i="11"/>
  <c r="Q76" i="11"/>
  <c r="Q75" i="11"/>
  <c r="R75" i="11"/>
  <c r="Z32" i="12"/>
  <c r="N53" i="10"/>
  <c r="N54" i="10"/>
  <c r="O53" i="10"/>
  <c r="X29" i="10"/>
  <c r="Y28" i="10"/>
  <c r="X28" i="10"/>
  <c r="S36" i="11"/>
  <c r="T36" i="11"/>
  <c r="S37" i="11"/>
  <c r="X31" i="12"/>
  <c r="Y31" i="12"/>
  <c r="S76" i="11"/>
  <c r="T75" i="11"/>
  <c r="AM21" i="10"/>
  <c r="AM23" i="10" s="1"/>
  <c r="O20" i="10"/>
  <c r="N19" i="10"/>
  <c r="O21" i="10" s="1"/>
  <c r="O23" i="10" s="1"/>
  <c r="O19" i="10"/>
  <c r="AF77" i="11"/>
  <c r="AE77" i="11"/>
  <c r="AE78" i="11"/>
  <c r="K56" i="11" s="1"/>
  <c r="AK31" i="12"/>
  <c r="AJ31" i="12"/>
  <c r="Y37" i="11"/>
  <c r="Y36" i="11"/>
  <c r="Z36" i="11"/>
  <c r="W32" i="12"/>
  <c r="V32" i="12"/>
  <c r="AA30" i="12"/>
  <c r="Z30" i="12"/>
  <c r="X55" i="10"/>
  <c r="Y55" i="10"/>
  <c r="X56" i="10"/>
  <c r="H47" i="10" s="1"/>
  <c r="W75" i="11"/>
  <c r="X75" i="11"/>
  <c r="W76" i="11"/>
  <c r="C49" i="10"/>
  <c r="I30" i="10"/>
  <c r="D21" i="7" s="1"/>
  <c r="M36" i="11"/>
  <c r="N36" i="11"/>
  <c r="M37" i="11"/>
  <c r="V28" i="10"/>
  <c r="W28" i="10"/>
  <c r="V29" i="10"/>
  <c r="H38" i="10" s="1"/>
  <c r="AD27" i="12"/>
  <c r="AD29" i="12"/>
  <c r="AF26" i="10"/>
  <c r="AG26" i="10"/>
  <c r="AF27" i="10"/>
  <c r="T25" i="12"/>
  <c r="Y32" i="12"/>
  <c r="X32" i="12"/>
  <c r="Z34" i="12"/>
  <c r="I41" i="12" s="1"/>
  <c r="I51" i="12" s="1"/>
  <c r="AM22" i="10"/>
  <c r="AI39" i="11"/>
  <c r="AI38" i="11"/>
  <c r="AJ38" i="11"/>
  <c r="Q28" i="10"/>
  <c r="P29" i="10"/>
  <c r="P28" i="10"/>
  <c r="J36" i="11"/>
  <c r="G54" i="11" s="1"/>
  <c r="AQ51" i="11"/>
  <c r="AQ52" i="11" s="1"/>
  <c r="AQ66" i="11" s="1"/>
  <c r="AR72" i="11" s="1"/>
  <c r="AR73" i="11" s="1"/>
  <c r="O76" i="11"/>
  <c r="M20" i="10"/>
  <c r="M19" i="10"/>
  <c r="L19" i="10"/>
  <c r="AH31" i="12"/>
  <c r="AI31" i="12"/>
  <c r="AH27" i="12"/>
  <c r="AH29" i="12"/>
  <c r="U49" i="10"/>
  <c r="U51" i="10" s="1"/>
  <c r="AO51" i="11"/>
  <c r="AO52" i="11" s="1"/>
  <c r="AO66" i="11" s="1"/>
  <c r="AP72" i="11" s="1"/>
  <c r="AP73" i="11" s="1"/>
  <c r="C55" i="12"/>
  <c r="AM49" i="10"/>
  <c r="AM51" i="10" s="1"/>
  <c r="E22" i="10"/>
  <c r="E24" i="10" s="1"/>
  <c r="W48" i="10"/>
  <c r="W50" i="10" s="1"/>
  <c r="V30" i="12"/>
  <c r="W30" i="12"/>
  <c r="U39" i="11"/>
  <c r="K45" i="11" s="1"/>
  <c r="U38" i="11"/>
  <c r="V38" i="11"/>
  <c r="AO32" i="12"/>
  <c r="AN32" i="12"/>
  <c r="AP34" i="12"/>
  <c r="I45" i="12" s="1"/>
  <c r="I47" i="12" s="1"/>
  <c r="M75" i="11"/>
  <c r="M76" i="11"/>
  <c r="N75" i="11"/>
  <c r="Y76" i="11"/>
  <c r="Z75" i="11"/>
  <c r="Y75" i="11"/>
  <c r="Q32" i="12"/>
  <c r="R34" i="12"/>
  <c r="I39" i="12" s="1"/>
  <c r="I53" i="12" s="1"/>
  <c r="P32" i="12"/>
  <c r="T28" i="10"/>
  <c r="U28" i="10"/>
  <c r="T29" i="10"/>
  <c r="R55" i="10"/>
  <c r="S55" i="10"/>
  <c r="R56" i="10"/>
  <c r="AQ36" i="11"/>
  <c r="AR36" i="11"/>
  <c r="AQ37" i="11"/>
  <c r="AJ46" i="10"/>
  <c r="AK48" i="10" s="1"/>
  <c r="AK50" i="10" s="1"/>
  <c r="AK47" i="10"/>
  <c r="AK46" i="10"/>
  <c r="D37" i="11"/>
  <c r="D36" i="11"/>
  <c r="F50" i="11" s="1"/>
  <c r="E36" i="11"/>
  <c r="G50" i="11" s="1"/>
  <c r="Z57" i="10"/>
  <c r="AK21" i="10"/>
  <c r="AK23" i="10" s="1"/>
  <c r="AN31" i="12"/>
  <c r="AO31" i="12"/>
  <c r="C64" i="12"/>
  <c r="AA28" i="10"/>
  <c r="Z29" i="10"/>
  <c r="H39" i="10" s="1"/>
  <c r="Z28" i="10"/>
  <c r="Z30" i="10" s="1"/>
  <c r="L32" i="12"/>
  <c r="M32" i="12"/>
  <c r="N34" i="12"/>
  <c r="I38" i="12" s="1"/>
  <c r="AG36" i="11"/>
  <c r="AH36" i="11"/>
  <c r="AG37" i="11"/>
  <c r="N25" i="12"/>
  <c r="N28" i="12" s="1"/>
  <c r="AF30" i="12"/>
  <c r="AG30" i="12"/>
  <c r="AF29" i="12"/>
  <c r="AF28" i="12"/>
  <c r="Q31" i="12"/>
  <c r="P31" i="12"/>
  <c r="AH75" i="11"/>
  <c r="AG75" i="11"/>
  <c r="AG76" i="11"/>
  <c r="C49" i="12"/>
  <c r="D24" i="12"/>
  <c r="AC55" i="10"/>
  <c r="AB55" i="10"/>
  <c r="AB57" i="10" s="1"/>
  <c r="AB56" i="10"/>
  <c r="H48" i="10" s="1"/>
  <c r="AH27" i="10"/>
  <c r="AH26" i="10"/>
  <c r="AI26" i="10"/>
  <c r="I24" i="12"/>
  <c r="C58" i="12"/>
  <c r="W49" i="10"/>
  <c r="R24" i="12"/>
  <c r="AB29" i="10"/>
  <c r="AB28" i="10"/>
  <c r="AC28" i="10"/>
  <c r="AO37" i="11"/>
  <c r="AP36" i="11"/>
  <c r="AO36" i="11"/>
  <c r="P75" i="11" l="1"/>
  <c r="I37" i="11"/>
  <c r="O36" i="11"/>
  <c r="AK36" i="11"/>
  <c r="AF36" i="11"/>
  <c r="W37" i="11"/>
  <c r="W36" i="11"/>
  <c r="X36" i="11"/>
  <c r="AA37" i="11"/>
  <c r="AA36" i="11"/>
  <c r="AB36" i="11"/>
  <c r="T27" i="12"/>
  <c r="T28" i="12" s="1"/>
  <c r="AE31" i="12"/>
  <c r="AL34" i="12"/>
  <c r="I44" i="12" s="1"/>
  <c r="I48" i="12" s="1"/>
  <c r="AJ32" i="12"/>
  <c r="AN33" i="12"/>
  <c r="AJ33" i="12"/>
  <c r="X33" i="12"/>
  <c r="Z33" i="12"/>
  <c r="AB33" i="12"/>
  <c r="Z35" i="12"/>
  <c r="L33" i="12"/>
  <c r="V35" i="12"/>
  <c r="AP26" i="12"/>
  <c r="AP25" i="12"/>
  <c r="V33" i="12"/>
  <c r="AL26" i="12"/>
  <c r="AL25" i="12"/>
  <c r="P30" i="10"/>
  <c r="R57" i="10"/>
  <c r="AM53" i="10"/>
  <c r="AL54" i="10"/>
  <c r="AL53" i="10"/>
  <c r="U30" i="12"/>
  <c r="T29" i="12"/>
  <c r="T30" i="12"/>
  <c r="E26" i="10"/>
  <c r="D42" i="10" s="1"/>
  <c r="D26" i="10"/>
  <c r="C42" i="10" s="1"/>
  <c r="D27" i="10"/>
  <c r="T53" i="10"/>
  <c r="T54" i="10"/>
  <c r="U53" i="10"/>
  <c r="R26" i="12"/>
  <c r="R25" i="12"/>
  <c r="AH77" i="11"/>
  <c r="AG78" i="11"/>
  <c r="AG77" i="11"/>
  <c r="M78" i="11"/>
  <c r="N77" i="11"/>
  <c r="M77" i="11"/>
  <c r="AI30" i="12"/>
  <c r="AH30" i="12"/>
  <c r="AK22" i="10"/>
  <c r="X77" i="11"/>
  <c r="W77" i="11"/>
  <c r="W78" i="11"/>
  <c r="K54" i="11" s="1"/>
  <c r="Y39" i="11"/>
  <c r="K46" i="11" s="1"/>
  <c r="Y38" i="11"/>
  <c r="Y40" i="11" s="1"/>
  <c r="Z38" i="11"/>
  <c r="S38" i="11"/>
  <c r="S39" i="11"/>
  <c r="T38" i="11"/>
  <c r="Q38" i="11"/>
  <c r="R38" i="11"/>
  <c r="Q39" i="11"/>
  <c r="K44" i="11" s="1"/>
  <c r="AB77" i="11"/>
  <c r="AA78" i="11"/>
  <c r="K55" i="11" s="1"/>
  <c r="AA77" i="11"/>
  <c r="AM77" i="11"/>
  <c r="AM79" i="11" s="1"/>
  <c r="AM78" i="11"/>
  <c r="K58" i="11" s="1"/>
  <c r="AN77" i="11"/>
  <c r="AP38" i="11"/>
  <c r="AO38" i="11"/>
  <c r="AO39" i="11"/>
  <c r="K50" i="11" s="1"/>
  <c r="AF31" i="12"/>
  <c r="AG31" i="12"/>
  <c r="O31" i="12"/>
  <c r="N31" i="12"/>
  <c r="N27" i="12"/>
  <c r="N29" i="12"/>
  <c r="I54" i="12"/>
  <c r="I58" i="12" s="1"/>
  <c r="I56" i="12"/>
  <c r="AK24" i="10"/>
  <c r="D38" i="11"/>
  <c r="D39" i="11"/>
  <c r="D19" i="5" s="1"/>
  <c r="E38" i="11"/>
  <c r="G52" i="11" s="1"/>
  <c r="AR38" i="11"/>
  <c r="AQ39" i="11"/>
  <c r="AQ38" i="11"/>
  <c r="AQ40" i="11" s="1"/>
  <c r="T30" i="10"/>
  <c r="AP75" i="11"/>
  <c r="AO76" i="11"/>
  <c r="AO75" i="11"/>
  <c r="AQ75" i="11"/>
  <c r="AR75" i="11"/>
  <c r="AQ76" i="11"/>
  <c r="AI40" i="11"/>
  <c r="AG28" i="10"/>
  <c r="AF29" i="10"/>
  <c r="AF28" i="10"/>
  <c r="V30" i="10"/>
  <c r="X57" i="10"/>
  <c r="AE79" i="11"/>
  <c r="O22" i="10"/>
  <c r="O24" i="10" s="1"/>
  <c r="O38" i="11"/>
  <c r="O39" i="11"/>
  <c r="P38" i="11"/>
  <c r="AK39" i="11"/>
  <c r="K49" i="11" s="1"/>
  <c r="AK38" i="11"/>
  <c r="AK40" i="11" s="1"/>
  <c r="AL38" i="11"/>
  <c r="AJ77" i="11"/>
  <c r="AI77" i="11"/>
  <c r="AI78" i="11"/>
  <c r="K57" i="11" s="1"/>
  <c r="R28" i="10"/>
  <c r="S28" i="10"/>
  <c r="R29" i="10"/>
  <c r="H37" i="10" s="1"/>
  <c r="AI28" i="10"/>
  <c r="AH29" i="10"/>
  <c r="H41" i="10" s="1"/>
  <c r="AH28" i="10"/>
  <c r="D26" i="12"/>
  <c r="D27" i="12" s="1"/>
  <c r="D25" i="12"/>
  <c r="AH34" i="12"/>
  <c r="I43" i="12" s="1"/>
  <c r="I49" i="12" s="1"/>
  <c r="AF32" i="12"/>
  <c r="AG32" i="12"/>
  <c r="AG39" i="11"/>
  <c r="K48" i="11" s="1"/>
  <c r="AH38" i="11"/>
  <c r="AG38" i="11"/>
  <c r="Z77" i="11"/>
  <c r="Y78" i="11"/>
  <c r="Y77" i="11"/>
  <c r="U40" i="11"/>
  <c r="W51" i="10"/>
  <c r="P77" i="11"/>
  <c r="O77" i="11"/>
  <c r="O78" i="11"/>
  <c r="K52" i="11" s="1"/>
  <c r="AE32" i="12"/>
  <c r="AD32" i="12"/>
  <c r="M38" i="11"/>
  <c r="N38" i="11"/>
  <c r="M39" i="11"/>
  <c r="K43" i="11" s="1"/>
  <c r="J61" i="11" s="1"/>
  <c r="AM24" i="10"/>
  <c r="R77" i="11"/>
  <c r="Q78" i="11"/>
  <c r="Q77" i="11"/>
  <c r="Q79" i="11" s="1"/>
  <c r="L55" i="10"/>
  <c r="L57" i="10" s="1"/>
  <c r="M55" i="10"/>
  <c r="L56" i="10"/>
  <c r="H44" i="10" s="1"/>
  <c r="AK77" i="11"/>
  <c r="AK79" i="11" s="1"/>
  <c r="AK78" i="11"/>
  <c r="AL77" i="11"/>
  <c r="AB30" i="10"/>
  <c r="I26" i="12"/>
  <c r="I25" i="12"/>
  <c r="P33" i="12"/>
  <c r="G61" i="11"/>
  <c r="AK49" i="10"/>
  <c r="AK51" i="10" s="1"/>
  <c r="AI32" i="12"/>
  <c r="AH32" i="12"/>
  <c r="M21" i="10"/>
  <c r="M23" i="10" s="1"/>
  <c r="I38" i="11"/>
  <c r="I39" i="11"/>
  <c r="D18" i="5" s="1"/>
  <c r="J38" i="11"/>
  <c r="G56" i="11" s="1"/>
  <c r="AD30" i="12"/>
  <c r="AE30" i="12"/>
  <c r="S77" i="11"/>
  <c r="S79" i="11" s="1"/>
  <c r="T77" i="11"/>
  <c r="S78" i="11"/>
  <c r="K53" i="11" s="1"/>
  <c r="X30" i="10"/>
  <c r="O55" i="10"/>
  <c r="N56" i="10"/>
  <c r="N55" i="10"/>
  <c r="AC38" i="11"/>
  <c r="AD38" i="11"/>
  <c r="AC39" i="11"/>
  <c r="K47" i="11" s="1"/>
  <c r="AC77" i="11"/>
  <c r="AC78" i="11"/>
  <c r="AD77" i="11"/>
  <c r="AF38" i="11"/>
  <c r="AE39" i="11"/>
  <c r="AE38" i="11"/>
  <c r="U78" i="11"/>
  <c r="V77" i="11"/>
  <c r="U77" i="11"/>
  <c r="AN38" i="11"/>
  <c r="AM39" i="11"/>
  <c r="AM38" i="11"/>
  <c r="AM40" i="11" l="1"/>
  <c r="M40" i="11"/>
  <c r="O79" i="11"/>
  <c r="Q40" i="11"/>
  <c r="O40" i="11"/>
  <c r="G60" i="11"/>
  <c r="F62" i="11" s="1"/>
  <c r="M79" i="11"/>
  <c r="W39" i="11"/>
  <c r="W38" i="11"/>
  <c r="X38" i="11"/>
  <c r="AI79" i="11"/>
  <c r="AO40" i="11"/>
  <c r="AA38" i="11"/>
  <c r="AA40" i="11" s="1"/>
  <c r="AA39" i="11"/>
  <c r="AB38" i="11"/>
  <c r="AL28" i="12"/>
  <c r="AF33" i="12"/>
  <c r="R28" i="12"/>
  <c r="R27" i="12" s="1"/>
  <c r="AP28" i="12"/>
  <c r="AL27" i="12"/>
  <c r="AL31" i="12"/>
  <c r="AM31" i="12"/>
  <c r="AL29" i="12"/>
  <c r="AD33" i="12"/>
  <c r="R30" i="10"/>
  <c r="AJ53" i="10"/>
  <c r="AK53" i="10"/>
  <c r="AJ54" i="10"/>
  <c r="N27" i="10"/>
  <c r="O26" i="10"/>
  <c r="N26" i="10"/>
  <c r="D30" i="12"/>
  <c r="C50" i="12" s="1"/>
  <c r="E30" i="12"/>
  <c r="D50" i="12" s="1"/>
  <c r="D28" i="12"/>
  <c r="D29" i="12"/>
  <c r="AE40" i="11"/>
  <c r="AC40" i="11"/>
  <c r="AH35" i="12"/>
  <c r="AD35" i="12"/>
  <c r="AG40" i="11"/>
  <c r="AH30" i="10"/>
  <c r="AF30" i="10"/>
  <c r="AQ78" i="11"/>
  <c r="K59" i="11" s="1"/>
  <c r="J63" i="11" s="1"/>
  <c r="AQ77" i="11"/>
  <c r="AQ79" i="11" s="1"/>
  <c r="AR77" i="11"/>
  <c r="D40" i="11"/>
  <c r="D21" i="5" s="1"/>
  <c r="F52" i="11"/>
  <c r="N32" i="12"/>
  <c r="O32" i="12"/>
  <c r="AA79" i="11"/>
  <c r="S40" i="11"/>
  <c r="AG79" i="11"/>
  <c r="D28" i="10"/>
  <c r="D29" i="10"/>
  <c r="D18" i="7" s="1"/>
  <c r="H51" i="10" s="1"/>
  <c r="J36" i="10" s="1"/>
  <c r="E28" i="10"/>
  <c r="D44" i="10" s="1"/>
  <c r="D51" i="10" s="1"/>
  <c r="U32" i="12"/>
  <c r="V34" i="12"/>
  <c r="I40" i="12" s="1"/>
  <c r="I52" i="12" s="1"/>
  <c r="T32" i="12"/>
  <c r="AM55" i="10"/>
  <c r="AL55" i="10"/>
  <c r="AL56" i="10"/>
  <c r="M22" i="10"/>
  <c r="M24" i="10" s="1"/>
  <c r="U79" i="11"/>
  <c r="AC79" i="11"/>
  <c r="N57" i="10"/>
  <c r="W53" i="10"/>
  <c r="V53" i="10"/>
  <c r="V54" i="10"/>
  <c r="Y79" i="11"/>
  <c r="AO77" i="11"/>
  <c r="AP77" i="11"/>
  <c r="AO78" i="11"/>
  <c r="AJ26" i="10"/>
  <c r="AK26" i="10"/>
  <c r="AJ27" i="10"/>
  <c r="O30" i="12"/>
  <c r="N30" i="12"/>
  <c r="AH33" i="12"/>
  <c r="U31" i="12"/>
  <c r="T31" i="12"/>
  <c r="I40" i="11"/>
  <c r="D20" i="5" s="1"/>
  <c r="F56" i="11"/>
  <c r="I28" i="12"/>
  <c r="AL26" i="10"/>
  <c r="AL27" i="10"/>
  <c r="AM26" i="10"/>
  <c r="W79" i="11"/>
  <c r="T55" i="10"/>
  <c r="T57" i="10" s="1"/>
  <c r="U55" i="10"/>
  <c r="T56" i="10"/>
  <c r="H46" i="10" s="1"/>
  <c r="F61" i="11" l="1"/>
  <c r="G62" i="11" s="1"/>
  <c r="G63" i="11" s="1"/>
  <c r="W40" i="11"/>
  <c r="S31" i="12"/>
  <c r="R31" i="12"/>
  <c r="R29" i="12"/>
  <c r="S32" i="12" s="1"/>
  <c r="T33" i="12"/>
  <c r="N35" i="12"/>
  <c r="AL30" i="12"/>
  <c r="AM30" i="12"/>
  <c r="AM32" i="12"/>
  <c r="AL32" i="12"/>
  <c r="AP27" i="12"/>
  <c r="AP29" i="12"/>
  <c r="AQ31" i="12"/>
  <c r="AP31" i="12"/>
  <c r="D52" i="10"/>
  <c r="C53" i="10" s="1"/>
  <c r="M26" i="10"/>
  <c r="L26" i="10"/>
  <c r="L27" i="10"/>
  <c r="AM28" i="10"/>
  <c r="AL29" i="10"/>
  <c r="H42" i="10" s="1"/>
  <c r="AL28" i="10"/>
  <c r="AK28" i="10"/>
  <c r="AJ28" i="10"/>
  <c r="AJ29" i="10"/>
  <c r="AO79" i="11"/>
  <c r="D32" i="12"/>
  <c r="C52" i="12" s="1"/>
  <c r="E32" i="12"/>
  <c r="D52" i="12" s="1"/>
  <c r="I34" i="12"/>
  <c r="D16" i="6" s="1"/>
  <c r="AJ56" i="10"/>
  <c r="H50" i="10" s="1"/>
  <c r="AK55" i="10"/>
  <c r="AJ55" i="10"/>
  <c r="O28" i="10"/>
  <c r="N28" i="10"/>
  <c r="N29" i="10"/>
  <c r="H36" i="10" s="1"/>
  <c r="I27" i="12"/>
  <c r="I31" i="12"/>
  <c r="C59" i="12" s="1"/>
  <c r="I29" i="12"/>
  <c r="J31" i="12"/>
  <c r="D59" i="12" s="1"/>
  <c r="N33" i="12"/>
  <c r="C44" i="10"/>
  <c r="D30" i="10"/>
  <c r="D20" i="7" s="1"/>
  <c r="E31" i="12"/>
  <c r="D54" i="12" s="1"/>
  <c r="D31" i="12"/>
  <c r="V55" i="10"/>
  <c r="V57" i="10" s="1"/>
  <c r="V56" i="10"/>
  <c r="W55" i="10"/>
  <c r="AL57" i="10"/>
  <c r="S30" i="12"/>
  <c r="R30" i="12"/>
  <c r="AL33" i="12" l="1"/>
  <c r="R32" i="12"/>
  <c r="R35" i="12" s="1"/>
  <c r="AL35" i="12"/>
  <c r="AP32" i="12"/>
  <c r="AQ32" i="12"/>
  <c r="AQ30" i="12"/>
  <c r="AP30" i="12"/>
  <c r="N30" i="10"/>
  <c r="AJ57" i="10"/>
  <c r="AJ30" i="10"/>
  <c r="C54" i="12"/>
  <c r="D33" i="12"/>
  <c r="D15" i="6" s="1"/>
  <c r="I32" i="12"/>
  <c r="J32" i="12"/>
  <c r="D61" i="12" s="1"/>
  <c r="C52" i="10"/>
  <c r="D53" i="10" s="1"/>
  <c r="D54" i="10" s="1"/>
  <c r="C51" i="10"/>
  <c r="L29" i="10"/>
  <c r="L28" i="10"/>
  <c r="M28" i="10"/>
  <c r="R33" i="12"/>
  <c r="J30" i="12"/>
  <c r="D63" i="12" s="1"/>
  <c r="I30" i="12"/>
  <c r="AL30" i="10"/>
  <c r="AP35" i="12" l="1"/>
  <c r="AP33" i="12"/>
  <c r="L30" i="10"/>
  <c r="C61" i="12"/>
  <c r="C68" i="12" s="1"/>
  <c r="D69" i="12" s="1"/>
  <c r="D70" i="12" s="1"/>
  <c r="I35" i="12"/>
  <c r="D17" i="6" s="1"/>
  <c r="C63" i="12"/>
  <c r="I33" i="12"/>
  <c r="D68" i="12"/>
  <c r="D67" i="12"/>
  <c r="C69" i="12" s="1"/>
  <c r="C67" i="12" l="1"/>
</calcChain>
</file>

<file path=xl/sharedStrings.xml><?xml version="1.0" encoding="utf-8"?>
<sst xmlns="http://schemas.openxmlformats.org/spreadsheetml/2006/main" count="839" uniqueCount="187">
  <si>
    <t>Extrémité du palonnier</t>
  </si>
  <si>
    <t>X</t>
  </si>
  <si>
    <t>Y</t>
  </si>
  <si>
    <t>Axe de la gouverne</t>
  </si>
  <si>
    <t>Origine</t>
  </si>
  <si>
    <t>L'axe de sortie du servo est considéré comme l'origine du repère</t>
  </si>
  <si>
    <t>Angle du palonnier/servo (rad)</t>
  </si>
  <si>
    <t>Prolongement palonnier 1 (calculs)</t>
  </si>
  <si>
    <t>Prolongement palonnier 2 (calculs)</t>
  </si>
  <si>
    <t>Angle beta 1</t>
  </si>
  <si>
    <t>Angle beta 2</t>
  </si>
  <si>
    <t>Angle delta 1</t>
  </si>
  <si>
    <t>Extrémité du palonnier position 1</t>
  </si>
  <si>
    <t>Extrémité du palonnier position 2</t>
  </si>
  <si>
    <t>Distance Extrémité palonnier/axe gouverne 1</t>
  </si>
  <si>
    <t>Distance Extrémité palonnier/axe gouverne 2</t>
  </si>
  <si>
    <t>Angle delta 2</t>
  </si>
  <si>
    <t>Angle gamma 1</t>
  </si>
  <si>
    <t>Angle gamma 2</t>
  </si>
  <si>
    <t>Extrémité du guignol</t>
  </si>
  <si>
    <t>Extrémité du guignol 1</t>
  </si>
  <si>
    <t>Extrémité du guignol 2</t>
  </si>
  <si>
    <t>Neutre</t>
  </si>
  <si>
    <t>Position 1</t>
  </si>
  <si>
    <t>Position 2</t>
  </si>
  <si>
    <t xml:space="preserve">Reprise valeurs pour graphe </t>
  </si>
  <si>
    <t>Longueur tirant (mm)</t>
  </si>
  <si>
    <t>Angle guignol/gouverne (rad)</t>
  </si>
  <si>
    <t>Débattement du servo +/- (rad)</t>
  </si>
  <si>
    <t>Extrémité de la gouverne 1</t>
  </si>
  <si>
    <t>Débattement angulaire 1 (°)</t>
  </si>
  <si>
    <t>Mesure débattement 1 (mm)</t>
  </si>
  <si>
    <t>Angle gouverne/corps servo 1 (rad)</t>
  </si>
  <si>
    <t>Extrémité de la gouverne</t>
  </si>
  <si>
    <t>Angle gouverne/corps servo 2 (rad)</t>
  </si>
  <si>
    <t>Extrémité de la gouverne 2</t>
  </si>
  <si>
    <t>Débattement angulaire 2 (°)</t>
  </si>
  <si>
    <t>Mesure débattement 2 (mm)</t>
  </si>
  <si>
    <t>Angle palonnier position extrême 1</t>
  </si>
  <si>
    <t>Angle palonnier position extrême 2</t>
  </si>
  <si>
    <t>Origine S</t>
  </si>
  <si>
    <t>Distance référence (initiale) (mm)</t>
  </si>
  <si>
    <t>Extrémité du palonnier 1</t>
  </si>
  <si>
    <t>Distance position 1 (mm)</t>
  </si>
  <si>
    <t>Extrémité du palonnier 2</t>
  </si>
  <si>
    <t>Distance position 2 (mm)</t>
  </si>
  <si>
    <t>Débattement linéaire 1 (mm)</t>
  </si>
  <si>
    <t>Débattement linéaire 2 (mm)</t>
  </si>
  <si>
    <t>Origine G</t>
  </si>
  <si>
    <t>Distance point fixe gaine/guignol 1</t>
  </si>
  <si>
    <t>Distance point fixe gaine/guignol 2</t>
  </si>
  <si>
    <t>Distance point fixe gaine/guignol neutre</t>
  </si>
  <si>
    <t>Point fixe gaine G</t>
  </si>
  <si>
    <t>Point fixe gaine S</t>
  </si>
  <si>
    <t>Distance point fixe G/axe gouverne</t>
  </si>
  <si>
    <t>Liaison</t>
  </si>
  <si>
    <t>Axe gouverne</t>
  </si>
  <si>
    <t>Extrémité gouverne au neutre</t>
  </si>
  <si>
    <t>Angle palonnier haut (rad)</t>
  </si>
  <si>
    <t>Angle palonnier bas (rad)</t>
  </si>
  <si>
    <t>Extrémité palonnier haut</t>
  </si>
  <si>
    <t>Extrémité palonnier bas</t>
  </si>
  <si>
    <t>Angle gouverne au neutre (rad)</t>
  </si>
  <si>
    <t>Longueur des câbles au neutre</t>
  </si>
  <si>
    <t>Extrémité guignol haut</t>
  </si>
  <si>
    <t>Extrémité guignol bas</t>
  </si>
  <si>
    <t>Angle guignol bas (rad)</t>
  </si>
  <si>
    <t>Angle guignol haut (rad)</t>
  </si>
  <si>
    <t>Position 1 - palonnier haut tire</t>
  </si>
  <si>
    <t>Angle palonnier haut 1 (rad)</t>
  </si>
  <si>
    <t>Angle palonnier bas 1 (rad)</t>
  </si>
  <si>
    <t>Extrémité palonnier haut 1</t>
  </si>
  <si>
    <t>Extrémité palonnier bas 1</t>
  </si>
  <si>
    <t>Angle guignol haut 1</t>
  </si>
  <si>
    <t>Angle guignol bas 1</t>
  </si>
  <si>
    <t>Angle gouverne1</t>
  </si>
  <si>
    <t>Angle guignol haut/gouverne</t>
  </si>
  <si>
    <t>Extrémité guignol haut 1</t>
  </si>
  <si>
    <t>Extrémité guignol bas 1</t>
  </si>
  <si>
    <t>Extrémité gouverne 1</t>
  </si>
  <si>
    <t>Distance palonnier bas / guignol bas</t>
  </si>
  <si>
    <t>Position 2 - palonnier bas tire</t>
  </si>
  <si>
    <t>Angle palonnier haut 2 (rad)</t>
  </si>
  <si>
    <t>Angle palonnier bas 2 (rad)</t>
  </si>
  <si>
    <t>Extrémité palonnier haut 2</t>
  </si>
  <si>
    <t>Extrémité palonnier bas 2</t>
  </si>
  <si>
    <t>Angle guignol haut 2</t>
  </si>
  <si>
    <t>Angle guignol bas 2</t>
  </si>
  <si>
    <t>Angle gouverne2</t>
  </si>
  <si>
    <t>Extrémité guignol haut 2</t>
  </si>
  <si>
    <t>Extrémité guignol bas 2</t>
  </si>
  <si>
    <t>Extrémité gouverne 2</t>
  </si>
  <si>
    <t>Angle guignol bas/gouverne</t>
  </si>
  <si>
    <t>Distance palonnier haut / guignol haut</t>
  </si>
  <si>
    <t>Reprise des valeurs pour graphe</t>
  </si>
  <si>
    <t>Distance palonnier haut/axe gouverne 1</t>
  </si>
  <si>
    <t>Distance palonnier bas/axe gouverne 2</t>
  </si>
  <si>
    <t>Débattement angulaire (rad)</t>
  </si>
  <si>
    <t>Mesure débattement (mm)</t>
  </si>
  <si>
    <t>Calculs</t>
  </si>
  <si>
    <t>Coefficient de sens du palonnier</t>
  </si>
  <si>
    <t>Coefficient de sens du guignol</t>
  </si>
  <si>
    <t>DH =</t>
  </si>
  <si>
    <t>DV =</t>
  </si>
  <si>
    <t>A =</t>
  </si>
  <si>
    <t>rp =</t>
  </si>
  <si>
    <t>dp =</t>
  </si>
  <si>
    <t>rg =</t>
  </si>
  <si>
    <t>dg =</t>
  </si>
  <si>
    <t>= +/-</t>
  </si>
  <si>
    <t>C =</t>
  </si>
  <si>
    <t>mm</t>
  </si>
  <si>
    <t>°</t>
  </si>
  <si>
    <t>DHp =</t>
  </si>
  <si>
    <t>DVp =</t>
  </si>
  <si>
    <t>DHg =</t>
  </si>
  <si>
    <t>DVg =</t>
  </si>
  <si>
    <t>Calculs pour linéarité</t>
  </si>
  <si>
    <t>-8/8</t>
  </si>
  <si>
    <t>- 7/8</t>
  </si>
  <si>
    <t>- 6/8</t>
  </si>
  <si>
    <t>- 5/8</t>
  </si>
  <si>
    <t>- 4/8</t>
  </si>
  <si>
    <t>- 3/8</t>
  </si>
  <si>
    <t>- 2/8</t>
  </si>
  <si>
    <t>- 1/8</t>
  </si>
  <si>
    <t>-7/8</t>
  </si>
  <si>
    <t>-6/8</t>
  </si>
  <si>
    <t>-5/8</t>
  </si>
  <si>
    <t>-4/8</t>
  </si>
  <si>
    <t>-3/8</t>
  </si>
  <si>
    <t>-2/8</t>
  </si>
  <si>
    <t>-1/8</t>
  </si>
  <si>
    <t>0</t>
  </si>
  <si>
    <t>1/8</t>
  </si>
  <si>
    <t>2/8</t>
  </si>
  <si>
    <t>3/8</t>
  </si>
  <si>
    <t>4/8</t>
  </si>
  <si>
    <t>5/8</t>
  </si>
  <si>
    <t>6/8</t>
  </si>
  <si>
    <t>7/8</t>
  </si>
  <si>
    <t>8/8</t>
  </si>
  <si>
    <t>Graphe linéarité gouverne</t>
  </si>
  <si>
    <t>Graphe linéarité</t>
  </si>
  <si>
    <t>Segments</t>
  </si>
  <si>
    <t>Cinégouvernes_V1.2</t>
  </si>
  <si>
    <t>V</t>
  </si>
  <si>
    <t>(C) Renaud ILTIS - Novembre 2013</t>
  </si>
  <si>
    <t>renaudiltis@yahoo.fr</t>
  </si>
  <si>
    <t>Verticale as afstand</t>
  </si>
  <si>
    <t>Horizontale as afstand</t>
  </si>
  <si>
    <t>Invoer gegevens</t>
  </si>
  <si>
    <t>Horizontale off-set roerhevel</t>
  </si>
  <si>
    <t>Koorde van roer</t>
  </si>
  <si>
    <t>Resultaten</t>
  </si>
  <si>
    <t>Lengte stootstang</t>
  </si>
  <si>
    <t>Hoekuitslag naar boven</t>
  </si>
  <si>
    <t>Servoarm</t>
  </si>
  <si>
    <t>Roerhevel</t>
  </si>
  <si>
    <t>Uitslag servo</t>
  </si>
  <si>
    <t>Horizontale off-set servo 1.5msec</t>
  </si>
  <si>
    <t>Straal servo arm</t>
  </si>
  <si>
    <t>Horizontale afstand roeras</t>
  </si>
  <si>
    <t>Verticale  afstand roeras</t>
  </si>
  <si>
    <t>Straal roerhevel</t>
  </si>
  <si>
    <t>Roerhoek bij servo 1.5 msec</t>
  </si>
  <si>
    <t>Hoekuitslag roer +/-</t>
  </si>
  <si>
    <t>Lineaire uitslag roer +/-</t>
  </si>
  <si>
    <t>Speling in kabel inactief</t>
  </si>
  <si>
    <t>Kinematiek met  stuurstang</t>
  </si>
  <si>
    <t>Kinematiek met bowden kabel</t>
  </si>
  <si>
    <t>Kinematika met push-pull kabels</t>
  </si>
  <si>
    <t>Vertaling Rick Ruijsink</t>
  </si>
  <si>
    <t>De berekeningen zijn gebaseerd op de goniometrische functies sin, cos, arcsin, arccos, evenals op de relaties in elke driehoek.</t>
  </si>
  <si>
    <t>Gelieve eventuele foutieve resultaten, bugs, spelfouten, en voorstellen tot  verbetering te melden.</t>
  </si>
  <si>
    <t>info@ruijsink.nl</t>
  </si>
  <si>
    <t>De resultaten van de doorbuigingen uitgedrukt in mm komen overeen met onderstaande figuur.</t>
  </si>
  <si>
    <t>De juiste definitie is vooral van belang bij grote uitslagen</t>
  </si>
  <si>
    <t>Waarden kunnen positief (rechts en omhoog) of negatief (links of omlaag) zijn.</t>
  </si>
  <si>
    <t>De maat van de uitslag in mm wordt gegeven tussen het uiteinde van het roer in neutraal en het uiteinde bij volledige uitslag.</t>
  </si>
  <si>
    <t>De grafieken van de servouitslag/roerhoek worden gebruikt om de lineariteit van de roerrespons te controleren.</t>
  </si>
  <si>
    <t>Met vriendelijke understeuning van Franck AGUERRE</t>
  </si>
  <si>
    <t>Omdat de kromming vaak zwak is, is het mogelijk in te zoomen, of door "Segments" aan te vinken de afwijking van de rechte lijn weer te geven om deze beter te onderscheiden.</t>
  </si>
  <si>
    <t>Horizontale afstand servo as</t>
  </si>
  <si>
    <t>Vertiale afstand servo as</t>
  </si>
  <si>
    <t>Horizontale off-set @ servo 1.5msec</t>
  </si>
  <si>
    <t>Roerhoek @ servo 1.5 msec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</si>
</sst>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0"/>
      <name val="Arial"/>
      <family val="2"/>
    </font>
    <font>
      <sz val="10"/>
      <name val="Arial"/>
      <family val="2"/>
    </font>
    <font>
      <i/>
      <sz val="10"/>
      <name val="Arial"/>
      <family val="2"/>
    </font>
    <font>
      <b/>
      <sz val="12"/>
      <name val="Arial"/>
      <family val="2"/>
    </font>
    <font>
      <b/>
      <u/>
      <sz val="10"/>
      <name val="Arial"/>
      <family val="2"/>
    </font>
    <font>
      <u/>
      <sz val="10"/>
      <color indexed="12"/>
      <name val="Arial"/>
    </font>
    <font>
      <b/>
      <sz val="14"/>
      <name val="Arial"/>
      <family val="2"/>
    </font>
    <font>
      <sz val="10"/>
      <color indexed="12"/>
      <name val="Arial"/>
      <family val="2"/>
    </font>
    <font>
      <sz val="10"/>
      <color rgb="FF202124"/>
      <name val="Arial"/>
      <family val="2"/>
    </font>
    <font>
      <sz val="8"/>
      <color rgb="FF000000"/>
      <name val="Tahoma"/>
      <family val="2"/>
    </font>
  </fonts>
  <fills count="3">
    <fill>
      <patternFill patternType="none"/>
    </fill>
    <fill>
      <patternFill patternType="gray125"/>
    </fill>
    <fill>
      <patternFill patternType="solid">
        <fgColor indexed="4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92">
    <xf numFmtId="0" fontId="0" fillId="0" borderId="0" xfId="0"/>
    <xf numFmtId="2" fontId="1" fillId="0" borderId="0" xfId="0" applyNumberFormat="1" applyFont="1"/>
    <xf numFmtId="2" fontId="0" fillId="0" borderId="0" xfId="0" applyNumberFormat="1"/>
    <xf numFmtId="2" fontId="1" fillId="0" borderId="1" xfId="0" applyNumberFormat="1" applyFont="1" applyBorder="1"/>
    <xf numFmtId="2" fontId="0" fillId="0" borderId="2" xfId="0" applyNumberFormat="1" applyBorder="1"/>
    <xf numFmtId="2" fontId="0" fillId="0" borderId="3" xfId="0" applyNumberFormat="1" applyBorder="1"/>
    <xf numFmtId="2" fontId="0" fillId="0" borderId="4" xfId="0" applyNumberFormat="1" applyBorder="1"/>
    <xf numFmtId="2" fontId="0" fillId="0" borderId="0" xfId="0" applyNumberFormat="1" applyBorder="1"/>
    <xf numFmtId="2" fontId="0" fillId="0" borderId="5"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2" fontId="2" fillId="0" borderId="0" xfId="0" applyNumberFormat="1" applyFont="1"/>
    <xf numFmtId="2" fontId="0" fillId="0" borderId="0" xfId="0" applyNumberFormat="1" applyFill="1" applyBorder="1"/>
    <xf numFmtId="0" fontId="0" fillId="0" borderId="0" xfId="0" applyNumberFormat="1" applyFill="1" applyBorder="1"/>
    <xf numFmtId="2" fontId="1" fillId="0" borderId="0" xfId="0" applyNumberFormat="1" applyFont="1" applyBorder="1"/>
    <xf numFmtId="2" fontId="3" fillId="0" borderId="7" xfId="0" applyNumberFormat="1" applyFont="1" applyBorder="1"/>
    <xf numFmtId="2" fontId="0" fillId="0" borderId="9" xfId="0" applyNumberFormat="1" applyBorder="1"/>
    <xf numFmtId="2" fontId="5" fillId="0" borderId="1" xfId="0" applyNumberFormat="1" applyFont="1" applyBorder="1"/>
    <xf numFmtId="2" fontId="3" fillId="0" borderId="8" xfId="0" applyNumberFormat="1" applyFont="1" applyBorder="1"/>
    <xf numFmtId="2" fontId="1" fillId="0" borderId="0" xfId="0" applyNumberFormat="1" applyFont="1" applyBorder="1" applyAlignment="1">
      <alignment horizontal="right"/>
    </xf>
    <xf numFmtId="2" fontId="1" fillId="0" borderId="6" xfId="0" quotePrefix="1" applyNumberFormat="1" applyFont="1" applyBorder="1" applyAlignment="1">
      <alignment horizontal="right"/>
    </xf>
    <xf numFmtId="2" fontId="4" fillId="0" borderId="0" xfId="0" applyNumberFormat="1" applyFont="1" applyFill="1" applyAlignment="1">
      <alignment horizontal="center" vertical="center"/>
    </xf>
    <xf numFmtId="0" fontId="6" fillId="0" borderId="0" xfId="1" applyAlignment="1" applyProtection="1"/>
    <xf numFmtId="0" fontId="7" fillId="0" borderId="0" xfId="0" applyFont="1"/>
    <xf numFmtId="2" fontId="0" fillId="0" borderId="10" xfId="0" applyNumberFormat="1" applyBorder="1"/>
    <xf numFmtId="2" fontId="0" fillId="0" borderId="11" xfId="0" applyNumberFormat="1" applyBorder="1"/>
    <xf numFmtId="2" fontId="0" fillId="0" borderId="12" xfId="0" applyNumberFormat="1" applyBorder="1"/>
    <xf numFmtId="2" fontId="0" fillId="0" borderId="13" xfId="0" applyNumberFormat="1" applyBorder="1"/>
    <xf numFmtId="2" fontId="0" fillId="0" borderId="14" xfId="0" applyNumberFormat="1" applyBorder="1"/>
    <xf numFmtId="2" fontId="0" fillId="0" borderId="15" xfId="0" applyNumberFormat="1" applyBorder="1"/>
    <xf numFmtId="2" fontId="1" fillId="0" borderId="16" xfId="0" quotePrefix="1" applyNumberFormat="1" applyFont="1" applyBorder="1"/>
    <xf numFmtId="2" fontId="1" fillId="0" borderId="0" xfId="0" quotePrefix="1" applyNumberFormat="1" applyFont="1" applyBorder="1"/>
    <xf numFmtId="2" fontId="0" fillId="0" borderId="4" xfId="0" quotePrefix="1" applyNumberFormat="1" applyBorder="1" applyAlignment="1">
      <alignment horizontal="center"/>
    </xf>
    <xf numFmtId="2" fontId="0" fillId="0" borderId="5" xfId="0" quotePrefix="1" applyNumberFormat="1" applyBorder="1" applyAlignment="1">
      <alignment horizontal="center"/>
    </xf>
    <xf numFmtId="2" fontId="2" fillId="0" borderId="1" xfId="0" applyNumberFormat="1" applyFont="1" applyBorder="1"/>
    <xf numFmtId="2" fontId="2" fillId="0" borderId="2" xfId="0" applyNumberFormat="1" applyFont="1" applyBorder="1"/>
    <xf numFmtId="2" fontId="1" fillId="0" borderId="2" xfId="0" applyNumberFormat="1" applyFont="1" applyBorder="1"/>
    <xf numFmtId="2" fontId="1" fillId="0" borderId="3" xfId="0" quotePrefix="1" applyNumberFormat="1" applyFont="1" applyBorder="1"/>
    <xf numFmtId="2" fontId="0" fillId="0" borderId="1" xfId="0" applyNumberFormat="1" applyBorder="1"/>
    <xf numFmtId="2" fontId="0" fillId="0" borderId="4" xfId="0" applyNumberFormat="1" applyFill="1" applyBorder="1"/>
    <xf numFmtId="0" fontId="8" fillId="0" borderId="0" xfId="0" applyNumberFormat="1" applyFont="1" applyFill="1" applyBorder="1" applyProtection="1">
      <protection locked="0"/>
    </xf>
    <xf numFmtId="0" fontId="8" fillId="0" borderId="6" xfId="0" applyNumberFormat="1" applyFont="1" applyFill="1" applyBorder="1" applyProtection="1">
      <protection locked="0"/>
    </xf>
    <xf numFmtId="2" fontId="0" fillId="0" borderId="3" xfId="0" applyNumberFormat="1" applyBorder="1" applyAlignment="1">
      <alignment horizontal="left"/>
    </xf>
    <xf numFmtId="2" fontId="0" fillId="0" borderId="7" xfId="0" applyNumberFormat="1" applyBorder="1" applyAlignment="1">
      <alignment horizontal="left"/>
    </xf>
    <xf numFmtId="2" fontId="0" fillId="0" borderId="8" xfId="0" applyNumberFormat="1" applyBorder="1" applyAlignment="1">
      <alignment horizontal="left"/>
    </xf>
    <xf numFmtId="0" fontId="4" fillId="0" borderId="0" xfId="0" applyFont="1" applyFill="1" applyAlignment="1">
      <alignment horizontal="center" vertical="center"/>
    </xf>
    <xf numFmtId="0" fontId="0" fillId="0" borderId="0" xfId="0" applyFill="1" applyAlignment="1">
      <alignment horizontal="center" vertical="center"/>
    </xf>
    <xf numFmtId="2" fontId="0" fillId="0" borderId="0" xfId="0" applyNumberFormat="1" applyFill="1"/>
    <xf numFmtId="2" fontId="0" fillId="0" borderId="0" xfId="0" applyNumberFormat="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1" fontId="1" fillId="0" borderId="0" xfId="0" applyNumberFormat="1" applyFont="1" applyAlignment="1">
      <alignment horizontal="center"/>
    </xf>
    <xf numFmtId="1" fontId="1" fillId="0" borderId="15" xfId="0" applyNumberFormat="1" applyFont="1" applyBorder="1" applyAlignment="1">
      <alignment horizontal="center"/>
    </xf>
    <xf numFmtId="1" fontId="1" fillId="0" borderId="10" xfId="0" applyNumberFormat="1" applyFont="1" applyBorder="1" applyAlignment="1">
      <alignment horizontal="center"/>
    </xf>
    <xf numFmtId="1" fontId="1" fillId="0" borderId="16" xfId="0" applyNumberFormat="1" applyFont="1" applyBorder="1" applyAlignment="1">
      <alignment horizontal="center"/>
    </xf>
    <xf numFmtId="1" fontId="1" fillId="0" borderId="13" xfId="0" applyNumberFormat="1" applyFont="1" applyBorder="1" applyAlignment="1">
      <alignment horizontal="center"/>
    </xf>
    <xf numFmtId="1" fontId="1" fillId="0" borderId="0" xfId="0" applyNumberFormat="1" applyFont="1" applyBorder="1" applyAlignment="1">
      <alignment horizontal="center"/>
    </xf>
    <xf numFmtId="0" fontId="0" fillId="0" borderId="0" xfId="0" applyAlignment="1">
      <alignment horizontal="right"/>
    </xf>
    <xf numFmtId="0" fontId="0" fillId="0" borderId="0" xfId="0" applyFill="1" applyBorder="1" applyAlignment="1">
      <alignment horizontal="center" vertical="center"/>
    </xf>
    <xf numFmtId="2" fontId="4" fillId="0" borderId="0" xfId="0" applyNumberFormat="1" applyFont="1" applyFill="1" applyBorder="1" applyAlignment="1">
      <alignment horizontal="center" vertical="center"/>
    </xf>
    <xf numFmtId="2" fontId="0" fillId="0" borderId="2" xfId="0" applyNumberFormat="1" applyFill="1" applyBorder="1"/>
    <xf numFmtId="2" fontId="1" fillId="0" borderId="0" xfId="0" applyNumberFormat="1" applyFont="1" applyFill="1" applyBorder="1" applyAlignment="1">
      <alignment horizontal="right"/>
    </xf>
    <xf numFmtId="0" fontId="8" fillId="0" borderId="0" xfId="0" applyNumberFormat="1" applyFont="1" applyFill="1" applyBorder="1"/>
    <xf numFmtId="0" fontId="8" fillId="0" borderId="6" xfId="0" applyNumberFormat="1" applyFont="1" applyFill="1" applyBorder="1"/>
    <xf numFmtId="164" fontId="2" fillId="0" borderId="0" xfId="0" applyNumberFormat="1" applyFont="1" applyFill="1" applyBorder="1" applyAlignment="1"/>
    <xf numFmtId="2" fontId="3" fillId="0" borderId="7" xfId="0" applyNumberFormat="1" applyFont="1" applyFill="1" applyBorder="1" applyAlignment="1"/>
    <xf numFmtId="0" fontId="3" fillId="0" borderId="7" xfId="0" applyFont="1" applyFill="1" applyBorder="1" applyAlignment="1"/>
    <xf numFmtId="164" fontId="2" fillId="0" borderId="6" xfId="0" applyNumberFormat="1" applyFont="1" applyFill="1" applyBorder="1" applyAlignment="1"/>
    <xf numFmtId="0" fontId="3" fillId="0" borderId="8" xfId="0" applyFont="1" applyFill="1" applyBorder="1" applyAlignment="1"/>
    <xf numFmtId="164" fontId="2" fillId="0" borderId="0" xfId="0" applyNumberFormat="1" applyFont="1" applyFill="1" applyBorder="1"/>
    <xf numFmtId="0" fontId="3" fillId="0" borderId="7" xfId="0" applyFont="1" applyBorder="1" applyAlignment="1"/>
    <xf numFmtId="164" fontId="2" fillId="0" borderId="6" xfId="0" applyNumberFormat="1" applyFont="1" applyFill="1" applyBorder="1"/>
    <xf numFmtId="0" fontId="3" fillId="0" borderId="8" xfId="0" applyFont="1" applyBorder="1" applyAlignment="1"/>
    <xf numFmtId="2" fontId="3" fillId="0" borderId="7" xfId="0" applyNumberFormat="1" applyFont="1" applyBorder="1" applyAlignment="1">
      <alignment horizontal="left"/>
    </xf>
    <xf numFmtId="2" fontId="3" fillId="0" borderId="8" xfId="0" applyNumberFormat="1" applyFont="1" applyBorder="1" applyAlignment="1">
      <alignment horizontal="left"/>
    </xf>
    <xf numFmtId="0" fontId="0" fillId="0" borderId="0" xfId="0" applyFill="1"/>
    <xf numFmtId="2" fontId="2" fillId="0" borderId="4" xfId="0" applyNumberFormat="1" applyFont="1" applyBorder="1"/>
    <xf numFmtId="2" fontId="2" fillId="0" borderId="5" xfId="0" applyNumberFormat="1" applyFont="1" applyBorder="1"/>
    <xf numFmtId="0" fontId="2" fillId="0" borderId="0" xfId="0" applyFont="1"/>
    <xf numFmtId="0" fontId="9" fillId="0" borderId="0" xfId="0" applyFont="1" applyAlignment="1">
      <alignment horizontal="left" vertical="center"/>
    </xf>
    <xf numFmtId="0" fontId="2" fillId="0" borderId="0" xfId="0" applyFont="1" applyFill="1"/>
    <xf numFmtId="2" fontId="2" fillId="0" borderId="0" xfId="0" applyNumberFormat="1" applyFont="1" applyFill="1"/>
    <xf numFmtId="2" fontId="1" fillId="0" borderId="1" xfId="0" applyNumberFormat="1" applyFont="1" applyBorder="1" applyAlignment="1">
      <alignment horizontal="right" vertical="center"/>
    </xf>
    <xf numFmtId="2" fontId="1" fillId="0" borderId="4" xfId="0" applyNumberFormat="1" applyFont="1" applyBorder="1" applyAlignment="1">
      <alignment horizontal="right" vertical="center"/>
    </xf>
    <xf numFmtId="2" fontId="1" fillId="0" borderId="5" xfId="0" applyNumberFormat="1" applyFont="1" applyBorder="1" applyAlignment="1">
      <alignment horizontal="right" vertical="center"/>
    </xf>
    <xf numFmtId="0" fontId="4" fillId="2" borderId="0" xfId="0" applyFont="1" applyFill="1" applyAlignment="1">
      <alignment horizontal="center" vertical="center"/>
    </xf>
    <xf numFmtId="2" fontId="4" fillId="2" borderId="0" xfId="0" applyNumberFormat="1" applyFont="1" applyFill="1" applyAlignment="1">
      <alignment horizontal="center" vertical="center"/>
    </xf>
    <xf numFmtId="2" fontId="1" fillId="0" borderId="2" xfId="0" applyNumberFormat="1" applyFont="1" applyBorder="1" applyAlignment="1"/>
    <xf numFmtId="0" fontId="0" fillId="0" borderId="2" xfId="0" applyBorder="1"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40380293743576E-3"/>
          <c:y val="2.8571450715720113E-2"/>
          <c:w val="0.98461709149135235"/>
          <c:h val="0.95873090179416365"/>
        </c:manualLayout>
      </c:layout>
      <c:scatterChart>
        <c:scatterStyle val="lineMarker"/>
        <c:varyColors val="0"/>
        <c:ser>
          <c:idx val="0"/>
          <c:order val="0"/>
          <c:spPr>
            <a:ln w="25400">
              <a:solidFill>
                <a:srgbClr val="000080"/>
              </a:solidFill>
              <a:prstDash val="solid"/>
            </a:ln>
          </c:spPr>
          <c:marker>
            <c:symbol val="circle"/>
            <c:size val="7"/>
            <c:spPr>
              <a:solidFill>
                <a:srgbClr val="000080"/>
              </a:solidFill>
              <a:ln>
                <a:solidFill>
                  <a:srgbClr val="000080"/>
                </a:solidFill>
                <a:prstDash val="solid"/>
              </a:ln>
            </c:spPr>
          </c:marker>
          <c:xVal>
            <c:numRef>
              <c:f>Calc_Tringle!$C$35:$C$39</c:f>
              <c:numCache>
                <c:formatCode>0.00</c:formatCode>
                <c:ptCount val="5"/>
                <c:pt idx="0">
                  <c:v>0</c:v>
                </c:pt>
                <c:pt idx="1">
                  <c:v>1</c:v>
                </c:pt>
                <c:pt idx="2">
                  <c:v>77</c:v>
                </c:pt>
                <c:pt idx="3">
                  <c:v>80</c:v>
                </c:pt>
                <c:pt idx="4">
                  <c:v>112.8892417275068</c:v>
                </c:pt>
              </c:numCache>
            </c:numRef>
          </c:xVal>
          <c:yVal>
            <c:numRef>
              <c:f>Calc_Tringle!$D$35:$D$39</c:f>
              <c:numCache>
                <c:formatCode>0.00</c:formatCode>
                <c:ptCount val="5"/>
                <c:pt idx="0">
                  <c:v>0</c:v>
                </c:pt>
                <c:pt idx="1">
                  <c:v>8.9442719099991592</c:v>
                </c:pt>
                <c:pt idx="2">
                  <c:v>-7.0393920141694561</c:v>
                </c:pt>
                <c:pt idx="3">
                  <c:v>2.5</c:v>
                </c:pt>
                <c:pt idx="4">
                  <c:v>-9.470705016398405</c:v>
                </c:pt>
              </c:numCache>
            </c:numRef>
          </c:yVal>
          <c:smooth val="0"/>
          <c:extLst>
            <c:ext xmlns:c16="http://schemas.microsoft.com/office/drawing/2014/chart" uri="{C3380CC4-5D6E-409C-BE32-E72D297353CC}">
              <c16:uniqueId val="{00000000-E305-45DD-9910-296698000726}"/>
            </c:ext>
          </c:extLst>
        </c:ser>
        <c:ser>
          <c:idx val="1"/>
          <c:order val="1"/>
          <c:spPr>
            <a:ln w="25400">
              <a:solidFill>
                <a:srgbClr val="FF00FF"/>
              </a:solidFill>
              <a:prstDash val="solid"/>
            </a:ln>
          </c:spPr>
          <c:marker>
            <c:symbol val="circle"/>
            <c:size val="7"/>
            <c:spPr>
              <a:solidFill>
                <a:srgbClr val="FF00FF"/>
              </a:solidFill>
              <a:ln>
                <a:solidFill>
                  <a:srgbClr val="FF00FF"/>
                </a:solidFill>
                <a:prstDash val="solid"/>
              </a:ln>
            </c:spPr>
          </c:marker>
          <c:xVal>
            <c:numRef>
              <c:f>Calc_Tringle!$C$40:$C$44</c:f>
              <c:numCache>
                <c:formatCode>0.00</c:formatCode>
                <c:ptCount val="5"/>
                <c:pt idx="0">
                  <c:v>0</c:v>
                </c:pt>
                <c:pt idx="1">
                  <c:v>7.0316621015233061</c:v>
                </c:pt>
                <c:pt idx="2">
                  <c:v>83.696450573060346</c:v>
                </c:pt>
                <c:pt idx="3">
                  <c:v>80</c:v>
                </c:pt>
                <c:pt idx="4">
                  <c:v>113.06293813508387</c:v>
                </c:pt>
              </c:numCache>
            </c:numRef>
          </c:xVal>
          <c:yVal>
            <c:numRef>
              <c:f>Calc_Tringle!$D$40:$D$44</c:f>
              <c:numCache>
                <c:formatCode>0.00</c:formatCode>
                <c:ptCount val="5"/>
                <c:pt idx="0">
                  <c:v>0</c:v>
                </c:pt>
                <c:pt idx="1">
                  <c:v>5.6174485391502111</c:v>
                </c:pt>
                <c:pt idx="2">
                  <c:v>-6.7917303641959954</c:v>
                </c:pt>
                <c:pt idx="3">
                  <c:v>2.5</c:v>
                </c:pt>
                <c:pt idx="4">
                  <c:v>13.982252473953761</c:v>
                </c:pt>
              </c:numCache>
            </c:numRef>
          </c:yVal>
          <c:smooth val="0"/>
          <c:extLst>
            <c:ext xmlns:c16="http://schemas.microsoft.com/office/drawing/2014/chart" uri="{C3380CC4-5D6E-409C-BE32-E72D297353CC}">
              <c16:uniqueId val="{00000001-E305-45DD-9910-296698000726}"/>
            </c:ext>
          </c:extLst>
        </c:ser>
        <c:ser>
          <c:idx val="2"/>
          <c:order val="2"/>
          <c:spPr>
            <a:ln w="25400">
              <a:solidFill>
                <a:srgbClr val="008000"/>
              </a:solidFill>
              <a:prstDash val="solid"/>
            </a:ln>
          </c:spPr>
          <c:marker>
            <c:symbol val="circle"/>
            <c:size val="7"/>
            <c:spPr>
              <a:solidFill>
                <a:srgbClr val="008000"/>
              </a:solidFill>
              <a:ln>
                <a:solidFill>
                  <a:srgbClr val="008000"/>
                </a:solidFill>
                <a:prstDash val="solid"/>
              </a:ln>
            </c:spPr>
          </c:marker>
          <c:xVal>
            <c:numRef>
              <c:f>Calc_Tringle!$C$45:$C$49</c:f>
              <c:numCache>
                <c:formatCode>0.00</c:formatCode>
                <c:ptCount val="5"/>
                <c:pt idx="0">
                  <c:v>0</c:v>
                </c:pt>
                <c:pt idx="1">
                  <c:v>-5.6174485391502103</c:v>
                </c:pt>
                <c:pt idx="2">
                  <c:v>71.437366883689876</c:v>
                </c:pt>
                <c:pt idx="3">
                  <c:v>80</c:v>
                </c:pt>
                <c:pt idx="4">
                  <c:v>96.731696305765013</c:v>
                </c:pt>
              </c:numCache>
            </c:numRef>
          </c:xVal>
          <c:yVal>
            <c:numRef>
              <c:f>Calc_Tringle!$D$45:$D$49</c:f>
              <c:numCache>
                <c:formatCode>0.00</c:formatCode>
                <c:ptCount val="5"/>
                <c:pt idx="0">
                  <c:v>0</c:v>
                </c:pt>
                <c:pt idx="1">
                  <c:v>7.031662101523307</c:v>
                </c:pt>
                <c:pt idx="2">
                  <c:v>-2.6653958333770724</c:v>
                </c:pt>
                <c:pt idx="3">
                  <c:v>2.5</c:v>
                </c:pt>
                <c:pt idx="4">
                  <c:v>-28.241671046507044</c:v>
                </c:pt>
              </c:numCache>
            </c:numRef>
          </c:yVal>
          <c:smooth val="0"/>
          <c:extLst>
            <c:ext xmlns:c16="http://schemas.microsoft.com/office/drawing/2014/chart" uri="{C3380CC4-5D6E-409C-BE32-E72D297353CC}">
              <c16:uniqueId val="{00000002-E305-45DD-9910-296698000726}"/>
            </c:ext>
          </c:extLst>
        </c:ser>
        <c:ser>
          <c:idx val="3"/>
          <c:order val="3"/>
          <c:spPr>
            <a:ln w="28575">
              <a:noFill/>
            </a:ln>
          </c:spPr>
          <c:marker>
            <c:symbol val="none"/>
          </c:marker>
          <c:xVal>
            <c:numRef>
              <c:f>Calc_Tringle!$C$53:$C$54</c:f>
              <c:numCache>
                <c:formatCode>0</c:formatCode>
                <c:ptCount val="2"/>
                <c:pt idx="0">
                  <c:v>141.20835523253521</c:v>
                </c:pt>
                <c:pt idx="1">
                  <c:v>0</c:v>
                </c:pt>
              </c:numCache>
            </c:numRef>
          </c:xVal>
          <c:yVal>
            <c:numRef>
              <c:f>Calc_Tringle!$D$53:$D$54</c:f>
              <c:numCache>
                <c:formatCode>0</c:formatCode>
                <c:ptCount val="2"/>
                <c:pt idx="0">
                  <c:v>22.612587627016772</c:v>
                </c:pt>
                <c:pt idx="1">
                  <c:v>-22.612587627016772</c:v>
                </c:pt>
              </c:numCache>
            </c:numRef>
          </c:yVal>
          <c:smooth val="0"/>
          <c:extLst>
            <c:ext xmlns:c16="http://schemas.microsoft.com/office/drawing/2014/chart" uri="{C3380CC4-5D6E-409C-BE32-E72D297353CC}">
              <c16:uniqueId val="{00000003-E305-45DD-9910-296698000726}"/>
            </c:ext>
          </c:extLst>
        </c:ser>
        <c:dLbls>
          <c:showLegendKey val="0"/>
          <c:showVal val="0"/>
          <c:showCatName val="0"/>
          <c:showSerName val="0"/>
          <c:showPercent val="0"/>
          <c:showBubbleSize val="0"/>
        </c:dLbls>
        <c:axId val="837218560"/>
        <c:axId val="1"/>
      </c:scatterChart>
      <c:valAx>
        <c:axId val="837218560"/>
        <c:scaling>
          <c:orientation val="minMax"/>
        </c:scaling>
        <c:delete val="0"/>
        <c:axPos val="b"/>
        <c:numFmt formatCode="0.00" sourceLinked="1"/>
        <c:majorTickMark val="none"/>
        <c:minorTickMark val="none"/>
        <c:tickLblPos val="none"/>
        <c:spPr>
          <a:ln w="3175">
            <a:solidFill>
              <a:srgbClr val="000000"/>
            </a:solidFill>
            <a:prstDash val="solid"/>
          </a:ln>
        </c:spPr>
        <c:crossAx val="1"/>
        <c:crosses val="autoZero"/>
        <c:crossBetween val="midCat"/>
        <c:majorUnit val="5"/>
      </c:valAx>
      <c:valAx>
        <c:axId val="1"/>
        <c:scaling>
          <c:orientation val="minMax"/>
        </c:scaling>
        <c:delete val="0"/>
        <c:axPos val="l"/>
        <c:numFmt formatCode="0.00" sourceLinked="1"/>
        <c:majorTickMark val="none"/>
        <c:minorTickMark val="none"/>
        <c:tickLblPos val="none"/>
        <c:spPr>
          <a:ln w="3175">
            <a:solidFill>
              <a:srgbClr val="000000"/>
            </a:solidFill>
            <a:prstDash val="solid"/>
          </a:ln>
        </c:spPr>
        <c:crossAx val="837218560"/>
        <c:crosses val="autoZero"/>
        <c:crossBetween val="midCat"/>
        <c:maj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nl-NL"/>
              <a:t>Hoek servo / Hoek Roer</a:t>
            </a:r>
          </a:p>
        </c:rich>
      </c:tx>
      <c:layout>
        <c:manualLayout>
          <c:xMode val="edge"/>
          <c:yMode val="edge"/>
          <c:x val="0.30639748122590965"/>
          <c:y val="2.0408037230640285E-2"/>
        </c:manualLayout>
      </c:layout>
      <c:overlay val="0"/>
      <c:spPr>
        <a:noFill/>
        <a:ln w="25400">
          <a:noFill/>
        </a:ln>
      </c:spPr>
    </c:title>
    <c:autoTitleDeleted val="0"/>
    <c:plotArea>
      <c:layout>
        <c:manualLayout>
          <c:layoutTarget val="inner"/>
          <c:xMode val="edge"/>
          <c:yMode val="edge"/>
          <c:x val="3.0303061440270878E-2"/>
          <c:y val="9.7506046794354734E-2"/>
          <c:w val="0.94107840806174547"/>
          <c:h val="0.86394892624765485"/>
        </c:manualLayout>
      </c:layout>
      <c:scatterChart>
        <c:scatterStyle val="smoothMarker"/>
        <c:varyColors val="0"/>
        <c:ser>
          <c:idx val="0"/>
          <c:order val="0"/>
          <c:spPr>
            <a:ln w="12700">
              <a:solidFill>
                <a:srgbClr val="FF0000"/>
              </a:solidFill>
              <a:prstDash val="solid"/>
            </a:ln>
          </c:spPr>
          <c:marker>
            <c:symbol val="diamond"/>
            <c:size val="3"/>
            <c:spPr>
              <a:solidFill>
                <a:srgbClr val="FF0000"/>
              </a:solidFill>
              <a:ln>
                <a:solidFill>
                  <a:srgbClr val="FF0000"/>
                </a:solidFill>
                <a:prstDash val="solid"/>
              </a:ln>
            </c:spPr>
          </c:marker>
          <c:xVal>
            <c:numRef>
              <c:f>Calc_Tringle!$G$35:$G$51</c:f>
              <c:numCache>
                <c:formatCode>0.00</c:formatCode>
                <c:ptCount val="17"/>
                <c:pt idx="0">
                  <c:v>-45</c:v>
                </c:pt>
                <c:pt idx="1">
                  <c:v>-39.375</c:v>
                </c:pt>
                <c:pt idx="2">
                  <c:v>-33.75</c:v>
                </c:pt>
                <c:pt idx="3">
                  <c:v>-28.125</c:v>
                </c:pt>
                <c:pt idx="4">
                  <c:v>-22.5</c:v>
                </c:pt>
                <c:pt idx="5">
                  <c:v>-16.875</c:v>
                </c:pt>
                <c:pt idx="6">
                  <c:v>-11.25</c:v>
                </c:pt>
                <c:pt idx="7">
                  <c:v>-5.625</c:v>
                </c:pt>
                <c:pt idx="8">
                  <c:v>0</c:v>
                </c:pt>
                <c:pt idx="9">
                  <c:v>5.625</c:v>
                </c:pt>
                <c:pt idx="10">
                  <c:v>11.25</c:v>
                </c:pt>
                <c:pt idx="11">
                  <c:v>16.875</c:v>
                </c:pt>
                <c:pt idx="12">
                  <c:v>22.5</c:v>
                </c:pt>
                <c:pt idx="13">
                  <c:v>28.125</c:v>
                </c:pt>
                <c:pt idx="14">
                  <c:v>33.75</c:v>
                </c:pt>
                <c:pt idx="15">
                  <c:v>39.375</c:v>
                </c:pt>
                <c:pt idx="16">
                  <c:v>45</c:v>
                </c:pt>
              </c:numCache>
            </c:numRef>
          </c:xVal>
          <c:yVal>
            <c:numRef>
              <c:f>Calc_Tringle!$H$35:$H$51</c:f>
              <c:numCache>
                <c:formatCode>0.00</c:formatCode>
                <c:ptCount val="17"/>
                <c:pt idx="0">
                  <c:v>-41.441978367157233</c:v>
                </c:pt>
                <c:pt idx="1">
                  <c:v>-35.901298771932254</c:v>
                </c:pt>
                <c:pt idx="2">
                  <c:v>-30.581123190109331</c:v>
                </c:pt>
                <c:pt idx="3">
                  <c:v>-25.388400855436245</c:v>
                </c:pt>
                <c:pt idx="4">
                  <c:v>-20.268354614148819</c:v>
                </c:pt>
                <c:pt idx="5">
                  <c:v>-15.186817988900742</c:v>
                </c:pt>
                <c:pt idx="6">
                  <c:v>-10.122270024854512</c:v>
                </c:pt>
                <c:pt idx="7">
                  <c:v>-5.0619582754193182</c:v>
                </c:pt>
                <c:pt idx="8">
                  <c:v>0</c:v>
                </c:pt>
                <c:pt idx="9">
                  <c:v>5.0634366937808668</c:v>
                </c:pt>
                <c:pt idx="10">
                  <c:v>10.122287116689222</c:v>
                </c:pt>
                <c:pt idx="11">
                  <c:v>15.16428200934244</c:v>
                </c:pt>
                <c:pt idx="12">
                  <c:v>20.170280712601446</c:v>
                </c:pt>
                <c:pt idx="13">
                  <c:v>25.113307524041915</c:v>
                </c:pt>
                <c:pt idx="14">
                  <c:v>29.957351824545228</c:v>
                </c:pt>
                <c:pt idx="15">
                  <c:v>34.65603330611323</c:v>
                </c:pt>
                <c:pt idx="16">
                  <c:v>39.151331842076608</c:v>
                </c:pt>
              </c:numCache>
            </c:numRef>
          </c:yVal>
          <c:smooth val="1"/>
          <c:extLst>
            <c:ext xmlns:c16="http://schemas.microsoft.com/office/drawing/2014/chart" uri="{C3380CC4-5D6E-409C-BE32-E72D297353CC}">
              <c16:uniqueId val="{00000000-7B0B-4411-9715-6243337EC3EF}"/>
            </c:ext>
          </c:extLst>
        </c:ser>
        <c:ser>
          <c:idx val="1"/>
          <c:order val="1"/>
          <c:spPr>
            <a:ln w="12700">
              <a:solidFill>
                <a:srgbClr val="0000FF"/>
              </a:solidFill>
              <a:prstDash val="solid"/>
            </a:ln>
          </c:spPr>
          <c:marker>
            <c:symbol val="none"/>
          </c:marker>
          <c:xVal>
            <c:numRef>
              <c:f>Calc_Tringle!$I$34:$I$36</c:f>
              <c:numCache>
                <c:formatCode>0.00</c:formatCode>
                <c:ptCount val="3"/>
                <c:pt idx="0">
                  <c:v>0</c:v>
                </c:pt>
                <c:pt idx="1">
                  <c:v>0</c:v>
                </c:pt>
                <c:pt idx="2">
                  <c:v>0</c:v>
                </c:pt>
              </c:numCache>
            </c:numRef>
          </c:xVal>
          <c:yVal>
            <c:numRef>
              <c:f>Calc_Tringle!$J$34:$J$36</c:f>
              <c:numCache>
                <c:formatCode>0.00</c:formatCode>
                <c:ptCount val="3"/>
                <c:pt idx="0">
                  <c:v>0</c:v>
                </c:pt>
                <c:pt idx="1">
                  <c:v>0</c:v>
                </c:pt>
                <c:pt idx="2">
                  <c:v>0</c:v>
                </c:pt>
              </c:numCache>
            </c:numRef>
          </c:yVal>
          <c:smooth val="1"/>
          <c:extLst>
            <c:ext xmlns:c16="http://schemas.microsoft.com/office/drawing/2014/chart" uri="{C3380CC4-5D6E-409C-BE32-E72D297353CC}">
              <c16:uniqueId val="{00000001-7B0B-4411-9715-6243337EC3EF}"/>
            </c:ext>
          </c:extLst>
        </c:ser>
        <c:dLbls>
          <c:showLegendKey val="0"/>
          <c:showVal val="0"/>
          <c:showCatName val="0"/>
          <c:showSerName val="0"/>
          <c:showPercent val="0"/>
          <c:showBubbleSize val="0"/>
        </c:dLbls>
        <c:axId val="840994144"/>
        <c:axId val="1"/>
      </c:scatterChart>
      <c:valAx>
        <c:axId val="840994144"/>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1"/>
        <c:crosses val="autoZero"/>
        <c:crossBetween val="midCat"/>
      </c:val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840994144"/>
        <c:crosses val="autoZero"/>
        <c:crossBetween val="midCat"/>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40380293743576E-3"/>
          <c:y val="2.2222239445560087E-2"/>
          <c:w val="0.98461709149135235"/>
          <c:h val="0.95873090179416365"/>
        </c:manualLayout>
      </c:layout>
      <c:scatterChart>
        <c:scatterStyle val="lineMarker"/>
        <c:varyColors val="0"/>
        <c:ser>
          <c:idx val="0"/>
          <c:order val="0"/>
          <c:spPr>
            <a:ln w="25400">
              <a:solidFill>
                <a:srgbClr val="000080"/>
              </a:solidFill>
              <a:prstDash val="solid"/>
            </a:ln>
          </c:spPr>
          <c:marker>
            <c:symbol val="circle"/>
            <c:size val="7"/>
            <c:spPr>
              <a:solidFill>
                <a:srgbClr val="000080"/>
              </a:solidFill>
              <a:ln>
                <a:solidFill>
                  <a:srgbClr val="000080"/>
                </a:solidFill>
                <a:prstDash val="solid"/>
              </a:ln>
            </c:spPr>
          </c:marker>
          <c:xVal>
            <c:numRef>
              <c:f>Calc_Gaine!$C$45:$C$48</c:f>
              <c:numCache>
                <c:formatCode>0.00</c:formatCode>
                <c:ptCount val="4"/>
                <c:pt idx="0">
                  <c:v>0</c:v>
                </c:pt>
                <c:pt idx="1">
                  <c:v>6</c:v>
                </c:pt>
                <c:pt idx="2">
                  <c:v>60</c:v>
                </c:pt>
              </c:numCache>
            </c:numRef>
          </c:xVal>
          <c:yVal>
            <c:numRef>
              <c:f>Calc_Gaine!$D$45:$D$48</c:f>
              <c:numCache>
                <c:formatCode>0.00</c:formatCode>
                <c:ptCount val="4"/>
                <c:pt idx="0">
                  <c:v>0</c:v>
                </c:pt>
                <c:pt idx="1">
                  <c:v>19.078784028338912</c:v>
                </c:pt>
                <c:pt idx="2">
                  <c:v>23</c:v>
                </c:pt>
              </c:numCache>
            </c:numRef>
          </c:yVal>
          <c:smooth val="0"/>
          <c:extLst>
            <c:ext xmlns:c16="http://schemas.microsoft.com/office/drawing/2014/chart" uri="{C3380CC4-5D6E-409C-BE32-E72D297353CC}">
              <c16:uniqueId val="{00000000-D352-4D8A-AEB9-CE639B7CF542}"/>
            </c:ext>
          </c:extLst>
        </c:ser>
        <c:ser>
          <c:idx val="1"/>
          <c:order val="1"/>
          <c:spPr>
            <a:ln w="25400">
              <a:solidFill>
                <a:srgbClr val="FF00FF"/>
              </a:solidFill>
              <a:prstDash val="solid"/>
            </a:ln>
          </c:spPr>
          <c:marker>
            <c:symbol val="circle"/>
            <c:size val="7"/>
            <c:spPr>
              <a:solidFill>
                <a:srgbClr val="FF00FF"/>
              </a:solidFill>
              <a:ln>
                <a:solidFill>
                  <a:srgbClr val="FF00FF"/>
                </a:solidFill>
                <a:prstDash val="solid"/>
              </a:ln>
            </c:spPr>
          </c:marker>
          <c:xVal>
            <c:numRef>
              <c:f>Calc_Gaine!$C$49:$C$52</c:f>
              <c:numCache>
                <c:formatCode>0.00</c:formatCode>
                <c:ptCount val="4"/>
                <c:pt idx="0">
                  <c:v>0</c:v>
                </c:pt>
                <c:pt idx="1">
                  <c:v>16.859872640015563</c:v>
                </c:pt>
                <c:pt idx="2">
                  <c:v>60</c:v>
                </c:pt>
              </c:numCache>
            </c:numRef>
          </c:xVal>
          <c:yVal>
            <c:numRef>
              <c:f>Calc_Gaine!$D$49:$D$52</c:f>
              <c:numCache>
                <c:formatCode>0.00</c:formatCode>
                <c:ptCount val="4"/>
                <c:pt idx="0">
                  <c:v>0</c:v>
                </c:pt>
                <c:pt idx="1">
                  <c:v>10.758470828256899</c:v>
                </c:pt>
                <c:pt idx="2">
                  <c:v>23</c:v>
                </c:pt>
              </c:numCache>
            </c:numRef>
          </c:yVal>
          <c:smooth val="0"/>
          <c:extLst>
            <c:ext xmlns:c16="http://schemas.microsoft.com/office/drawing/2014/chart" uri="{C3380CC4-5D6E-409C-BE32-E72D297353CC}">
              <c16:uniqueId val="{00000001-D352-4D8A-AEB9-CE639B7CF542}"/>
            </c:ext>
          </c:extLst>
        </c:ser>
        <c:ser>
          <c:idx val="2"/>
          <c:order val="2"/>
          <c:spPr>
            <a:ln w="25400">
              <a:solidFill>
                <a:srgbClr val="008000"/>
              </a:solidFill>
              <a:prstDash val="solid"/>
            </a:ln>
          </c:spPr>
          <c:marker>
            <c:symbol val="circle"/>
            <c:size val="7"/>
            <c:spPr>
              <a:solidFill>
                <a:srgbClr val="008000"/>
              </a:solidFill>
              <a:ln>
                <a:solidFill>
                  <a:srgbClr val="008000"/>
                </a:solidFill>
                <a:prstDash val="solid"/>
              </a:ln>
            </c:spPr>
          </c:marker>
          <c:xVal>
            <c:numRef>
              <c:f>Calc_Gaine!$C$53:$C$57</c:f>
              <c:numCache>
                <c:formatCode>0.00</c:formatCode>
                <c:ptCount val="5"/>
                <c:pt idx="0">
                  <c:v>0</c:v>
                </c:pt>
                <c:pt idx="1">
                  <c:v>-7.6673393225878241</c:v>
                </c:pt>
                <c:pt idx="2">
                  <c:v>60</c:v>
                </c:pt>
                <c:pt idx="4">
                  <c:v>60</c:v>
                </c:pt>
              </c:numCache>
            </c:numRef>
          </c:xVal>
          <c:yVal>
            <c:numRef>
              <c:f>Calc_Gaine!$D$53:$D$57</c:f>
              <c:numCache>
                <c:formatCode>0.00</c:formatCode>
                <c:ptCount val="5"/>
                <c:pt idx="0">
                  <c:v>0</c:v>
                </c:pt>
                <c:pt idx="1">
                  <c:v>18.471922144495373</c:v>
                </c:pt>
                <c:pt idx="2">
                  <c:v>23</c:v>
                </c:pt>
                <c:pt idx="4">
                  <c:v>23</c:v>
                </c:pt>
              </c:numCache>
            </c:numRef>
          </c:yVal>
          <c:smooth val="0"/>
          <c:extLst>
            <c:ext xmlns:c16="http://schemas.microsoft.com/office/drawing/2014/chart" uri="{C3380CC4-5D6E-409C-BE32-E72D297353CC}">
              <c16:uniqueId val="{00000002-D352-4D8A-AEB9-CE639B7CF542}"/>
            </c:ext>
          </c:extLst>
        </c:ser>
        <c:ser>
          <c:idx val="3"/>
          <c:order val="3"/>
          <c:spPr>
            <a:ln w="25400">
              <a:solidFill>
                <a:srgbClr val="000080"/>
              </a:solidFill>
              <a:prstDash val="solid"/>
            </a:ln>
          </c:spPr>
          <c:marker>
            <c:symbol val="circle"/>
            <c:size val="7"/>
            <c:spPr>
              <a:solidFill>
                <a:srgbClr val="000080"/>
              </a:solidFill>
              <a:ln>
                <a:solidFill>
                  <a:srgbClr val="000080"/>
                </a:solidFill>
                <a:prstDash val="solid"/>
              </a:ln>
            </c:spPr>
          </c:marker>
          <c:xVal>
            <c:numRef>
              <c:f>Calc_Gaine!$F$45:$F$48</c:f>
              <c:numCache>
                <c:formatCode>0.00</c:formatCode>
                <c:ptCount val="4"/>
                <c:pt idx="0">
                  <c:v>90</c:v>
                </c:pt>
                <c:pt idx="1">
                  <c:v>144</c:v>
                </c:pt>
                <c:pt idx="2">
                  <c:v>140</c:v>
                </c:pt>
                <c:pt idx="3">
                  <c:v>179.84778792366981</c:v>
                </c:pt>
              </c:numCache>
            </c:numRef>
          </c:xVal>
          <c:yVal>
            <c:numRef>
              <c:f>Calc_Gaine!$G$45:$G$48</c:f>
              <c:numCache>
                <c:formatCode>0.00</c:formatCode>
                <c:ptCount val="4"/>
                <c:pt idx="0">
                  <c:v>12</c:v>
                </c:pt>
                <c:pt idx="1">
                  <c:v>19.595917942265423</c:v>
                </c:pt>
                <c:pt idx="2">
                  <c:v>0</c:v>
                </c:pt>
                <c:pt idx="3">
                  <c:v>-3.4862297099063264</c:v>
                </c:pt>
              </c:numCache>
            </c:numRef>
          </c:yVal>
          <c:smooth val="0"/>
          <c:extLst>
            <c:ext xmlns:c16="http://schemas.microsoft.com/office/drawing/2014/chart" uri="{C3380CC4-5D6E-409C-BE32-E72D297353CC}">
              <c16:uniqueId val="{00000003-D352-4D8A-AEB9-CE639B7CF542}"/>
            </c:ext>
          </c:extLst>
        </c:ser>
        <c:ser>
          <c:idx val="4"/>
          <c:order val="4"/>
          <c:spPr>
            <a:ln w="25400">
              <a:solidFill>
                <a:srgbClr val="FF00FF"/>
              </a:solidFill>
              <a:prstDash val="solid"/>
            </a:ln>
          </c:spPr>
          <c:marker>
            <c:symbol val="circle"/>
            <c:size val="7"/>
            <c:spPr>
              <a:solidFill>
                <a:srgbClr val="FF00FF"/>
              </a:solidFill>
              <a:ln>
                <a:solidFill>
                  <a:srgbClr val="FF00FF"/>
                </a:solidFill>
                <a:prstDash val="solid"/>
              </a:ln>
            </c:spPr>
          </c:marker>
          <c:xVal>
            <c:numRef>
              <c:f>Calc_Gaine!$F$49:$F$52</c:f>
              <c:numCache>
                <c:formatCode>0.00</c:formatCode>
                <c:ptCount val="4"/>
                <c:pt idx="0">
                  <c:v>90</c:v>
                </c:pt>
                <c:pt idx="1">
                  <c:v>153.78173561313622</c:v>
                </c:pt>
                <c:pt idx="2">
                  <c:v>140</c:v>
                </c:pt>
                <c:pt idx="3">
                  <c:v>171.93663553364703</c:v>
                </c:pt>
              </c:numCache>
            </c:numRef>
          </c:xVal>
          <c:yVal>
            <c:numRef>
              <c:f>Calc_Gaine!$G$49:$G$52</c:f>
              <c:numCache>
                <c:formatCode>0.00</c:formatCode>
                <c:ptCount val="4"/>
                <c:pt idx="0">
                  <c:v>12</c:v>
                </c:pt>
                <c:pt idx="1">
                  <c:v>14.493576628617681</c:v>
                </c:pt>
                <c:pt idx="2">
                  <c:v>0</c:v>
                </c:pt>
                <c:pt idx="3">
                  <c:v>-24.08425441634002</c:v>
                </c:pt>
              </c:numCache>
            </c:numRef>
          </c:yVal>
          <c:smooth val="0"/>
          <c:extLst>
            <c:ext xmlns:c16="http://schemas.microsoft.com/office/drawing/2014/chart" uri="{C3380CC4-5D6E-409C-BE32-E72D297353CC}">
              <c16:uniqueId val="{00000004-D352-4D8A-AEB9-CE639B7CF542}"/>
            </c:ext>
          </c:extLst>
        </c:ser>
        <c:ser>
          <c:idx val="5"/>
          <c:order val="5"/>
          <c:spPr>
            <a:ln w="25400">
              <a:solidFill>
                <a:srgbClr val="008000"/>
              </a:solidFill>
              <a:prstDash val="solid"/>
            </a:ln>
          </c:spPr>
          <c:marker>
            <c:symbol val="circle"/>
            <c:size val="7"/>
            <c:spPr>
              <a:solidFill>
                <a:srgbClr val="008000"/>
              </a:solidFill>
              <a:ln>
                <a:solidFill>
                  <a:srgbClr val="008000"/>
                </a:solidFill>
                <a:prstDash val="solid"/>
              </a:ln>
            </c:spPr>
          </c:marker>
          <c:xVal>
            <c:numRef>
              <c:f>Calc_Gaine!$F$53:$F$56</c:f>
              <c:numCache>
                <c:formatCode>0.00</c:formatCode>
                <c:ptCount val="4"/>
                <c:pt idx="0">
                  <c:v>90</c:v>
                </c:pt>
                <c:pt idx="1">
                  <c:v>130.47167501149607</c:v>
                </c:pt>
                <c:pt idx="2">
                  <c:v>140</c:v>
                </c:pt>
                <c:pt idx="3">
                  <c:v>172.77066164483855</c:v>
                </c:pt>
              </c:numCache>
            </c:numRef>
          </c:xVal>
          <c:yVal>
            <c:numRef>
              <c:f>Calc_Gaine!$G$53:$G$56</c:f>
              <c:numCache>
                <c:formatCode>0.00</c:formatCode>
                <c:ptCount val="4"/>
                <c:pt idx="0">
                  <c:v>12</c:v>
                </c:pt>
                <c:pt idx="1">
                  <c:v>17.584397143873073</c:v>
                </c:pt>
                <c:pt idx="2">
                  <c:v>0</c:v>
                </c:pt>
                <c:pt idx="3">
                  <c:v>22.936515327300846</c:v>
                </c:pt>
              </c:numCache>
            </c:numRef>
          </c:yVal>
          <c:smooth val="0"/>
          <c:extLst>
            <c:ext xmlns:c16="http://schemas.microsoft.com/office/drawing/2014/chart" uri="{C3380CC4-5D6E-409C-BE32-E72D297353CC}">
              <c16:uniqueId val="{00000005-D352-4D8A-AEB9-CE639B7CF542}"/>
            </c:ext>
          </c:extLst>
        </c:ser>
        <c:ser>
          <c:idx val="6"/>
          <c:order val="6"/>
          <c:spPr>
            <a:ln w="25400">
              <a:solidFill>
                <a:srgbClr val="008080"/>
              </a:solidFill>
              <a:prstDash val="lgDash"/>
            </a:ln>
          </c:spPr>
          <c:marker>
            <c:symbol val="none"/>
          </c:marker>
          <c:xVal>
            <c:numRef>
              <c:f>Calc_Gaine!$C$57:$C$58</c:f>
              <c:numCache>
                <c:formatCode>0.00</c:formatCode>
                <c:ptCount val="2"/>
                <c:pt idx="0">
                  <c:v>60</c:v>
                </c:pt>
                <c:pt idx="1">
                  <c:v>90</c:v>
                </c:pt>
              </c:numCache>
            </c:numRef>
          </c:xVal>
          <c:yVal>
            <c:numRef>
              <c:f>Calc_Gaine!$D$57:$D$58</c:f>
              <c:numCache>
                <c:formatCode>0.00</c:formatCode>
                <c:ptCount val="2"/>
                <c:pt idx="0">
                  <c:v>23</c:v>
                </c:pt>
                <c:pt idx="1">
                  <c:v>12</c:v>
                </c:pt>
              </c:numCache>
            </c:numRef>
          </c:yVal>
          <c:smooth val="0"/>
          <c:extLst>
            <c:ext xmlns:c16="http://schemas.microsoft.com/office/drawing/2014/chart" uri="{C3380CC4-5D6E-409C-BE32-E72D297353CC}">
              <c16:uniqueId val="{00000006-D352-4D8A-AEB9-CE639B7CF542}"/>
            </c:ext>
          </c:extLst>
        </c:ser>
        <c:ser>
          <c:idx val="7"/>
          <c:order val="7"/>
          <c:spPr>
            <a:ln w="28575">
              <a:noFill/>
            </a:ln>
          </c:spPr>
          <c:marker>
            <c:symbol val="none"/>
          </c:marker>
          <c:xVal>
            <c:numRef>
              <c:f>Calc_Gaine!$F$62:$F$63</c:f>
              <c:numCache>
                <c:formatCode>0</c:formatCode>
                <c:ptCount val="2"/>
                <c:pt idx="0">
                  <c:v>120.4212720817001</c:v>
                </c:pt>
                <c:pt idx="1">
                  <c:v>0</c:v>
                </c:pt>
              </c:numCache>
            </c:numRef>
          </c:xVal>
          <c:yVal>
            <c:numRef>
              <c:f>Calc_Gaine!$G$62:$G$63</c:f>
              <c:numCache>
                <c:formatCode>0</c:formatCode>
                <c:ptCount val="2"/>
                <c:pt idx="0">
                  <c:v>35.969557584733963</c:v>
                </c:pt>
                <c:pt idx="1">
                  <c:v>-35.969557584733963</c:v>
                </c:pt>
              </c:numCache>
            </c:numRef>
          </c:yVal>
          <c:smooth val="0"/>
          <c:extLst>
            <c:ext xmlns:c16="http://schemas.microsoft.com/office/drawing/2014/chart" uri="{C3380CC4-5D6E-409C-BE32-E72D297353CC}">
              <c16:uniqueId val="{00000007-D352-4D8A-AEB9-CE639B7CF542}"/>
            </c:ext>
          </c:extLst>
        </c:ser>
        <c:dLbls>
          <c:showLegendKey val="0"/>
          <c:showVal val="0"/>
          <c:showCatName val="0"/>
          <c:showSerName val="0"/>
          <c:showPercent val="0"/>
          <c:showBubbleSize val="0"/>
        </c:dLbls>
        <c:axId val="909770336"/>
        <c:axId val="1"/>
      </c:scatterChart>
      <c:valAx>
        <c:axId val="909770336"/>
        <c:scaling>
          <c:orientation val="minMax"/>
        </c:scaling>
        <c:delete val="0"/>
        <c:axPos val="b"/>
        <c:numFmt formatCode="0.00" sourceLinked="1"/>
        <c:majorTickMark val="none"/>
        <c:minorTickMark val="none"/>
        <c:tickLblPos val="none"/>
        <c:spPr>
          <a:ln w="3175">
            <a:solidFill>
              <a:srgbClr val="000000"/>
            </a:solidFill>
            <a:prstDash val="solid"/>
          </a:ln>
        </c:spPr>
        <c:crossAx val="1"/>
        <c:crosses val="autoZero"/>
        <c:crossBetween val="midCat"/>
        <c:majorUnit val="5"/>
      </c:valAx>
      <c:valAx>
        <c:axId val="1"/>
        <c:scaling>
          <c:orientation val="minMax"/>
        </c:scaling>
        <c:delete val="0"/>
        <c:axPos val="l"/>
        <c:numFmt formatCode="0.00" sourceLinked="1"/>
        <c:majorTickMark val="none"/>
        <c:minorTickMark val="none"/>
        <c:tickLblPos val="none"/>
        <c:spPr>
          <a:ln w="3175">
            <a:solidFill>
              <a:srgbClr val="000000"/>
            </a:solidFill>
            <a:prstDash val="solid"/>
          </a:ln>
        </c:spPr>
        <c:crossAx val="909770336"/>
        <c:crosses val="autoZero"/>
        <c:crossBetween val="midCat"/>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nl-NL" sz="900" b="1" i="0" baseline="0">
                <a:effectLst/>
              </a:rPr>
              <a:t>Hoek servo / Hoek Roer</a:t>
            </a:r>
            <a:endParaRPr lang="nl-NL" sz="900">
              <a:effectLst/>
            </a:endParaRPr>
          </a:p>
        </c:rich>
      </c:tx>
      <c:layout>
        <c:manualLayout>
          <c:xMode val="edge"/>
          <c:yMode val="edge"/>
          <c:x val="0.33821237638136881"/>
          <c:y val="2.4142864494879311E-2"/>
        </c:manualLayout>
      </c:layout>
      <c:overlay val="0"/>
      <c:spPr>
        <a:noFill/>
        <a:ln w="25400">
          <a:noFill/>
        </a:ln>
      </c:spPr>
    </c:title>
    <c:autoTitleDeleted val="0"/>
    <c:plotArea>
      <c:layout>
        <c:manualLayout>
          <c:layoutTarget val="inner"/>
          <c:xMode val="edge"/>
          <c:yMode val="edge"/>
          <c:x val="3.0303061440270878E-2"/>
          <c:y val="9.5238464310765103E-2"/>
          <c:w val="0.94107840806174547"/>
          <c:h val="0.86621650873124445"/>
        </c:manualLayout>
      </c:layout>
      <c:scatterChart>
        <c:scatterStyle val="smoothMarker"/>
        <c:varyColors val="0"/>
        <c:ser>
          <c:idx val="0"/>
          <c:order val="0"/>
          <c:spPr>
            <a:ln w="12700">
              <a:solidFill>
                <a:srgbClr val="FF0000"/>
              </a:solidFill>
              <a:prstDash val="solid"/>
            </a:ln>
          </c:spPr>
          <c:marker>
            <c:symbol val="diamond"/>
            <c:size val="3"/>
            <c:spPr>
              <a:solidFill>
                <a:srgbClr val="FF0000"/>
              </a:solidFill>
              <a:ln>
                <a:solidFill>
                  <a:srgbClr val="FF0000"/>
                </a:solidFill>
                <a:prstDash val="solid"/>
              </a:ln>
            </c:spPr>
          </c:marker>
          <c:xVal>
            <c:numRef>
              <c:f>Calc_Gaine!$J$43:$J$59</c:f>
              <c:numCache>
                <c:formatCode>0.00</c:formatCode>
                <c:ptCount val="17"/>
                <c:pt idx="0">
                  <c:v>-40</c:v>
                </c:pt>
                <c:pt idx="1">
                  <c:v>-35</c:v>
                </c:pt>
                <c:pt idx="2">
                  <c:v>-30</c:v>
                </c:pt>
                <c:pt idx="3">
                  <c:v>-25</c:v>
                </c:pt>
                <c:pt idx="4">
                  <c:v>-20</c:v>
                </c:pt>
                <c:pt idx="5">
                  <c:v>-15</c:v>
                </c:pt>
                <c:pt idx="6">
                  <c:v>-10</c:v>
                </c:pt>
                <c:pt idx="7">
                  <c:v>-5</c:v>
                </c:pt>
                <c:pt idx="8">
                  <c:v>0</c:v>
                </c:pt>
                <c:pt idx="9">
                  <c:v>5</c:v>
                </c:pt>
                <c:pt idx="10">
                  <c:v>10</c:v>
                </c:pt>
                <c:pt idx="11">
                  <c:v>15</c:v>
                </c:pt>
                <c:pt idx="12">
                  <c:v>20</c:v>
                </c:pt>
                <c:pt idx="13">
                  <c:v>25</c:v>
                </c:pt>
                <c:pt idx="14">
                  <c:v>30</c:v>
                </c:pt>
                <c:pt idx="15">
                  <c:v>35</c:v>
                </c:pt>
                <c:pt idx="16">
                  <c:v>40</c:v>
                </c:pt>
              </c:numCache>
            </c:numRef>
          </c:xVal>
          <c:yVal>
            <c:numRef>
              <c:f>Calc_Gaine!$K$43:$K$59</c:f>
              <c:numCache>
                <c:formatCode>0.00</c:formatCode>
                <c:ptCount val="17"/>
                <c:pt idx="0">
                  <c:v>-32.020904017292509</c:v>
                </c:pt>
                <c:pt idx="1">
                  <c:v>-29.581409646027979</c:v>
                </c:pt>
                <c:pt idx="2">
                  <c:v>-26.467837710212631</c:v>
                </c:pt>
                <c:pt idx="3">
                  <c:v>-22.808099767583137</c:v>
                </c:pt>
                <c:pt idx="4">
                  <c:v>-18.72346175669071</c:v>
                </c:pt>
                <c:pt idx="5">
                  <c:v>-14.320374949030303</c:v>
                </c:pt>
                <c:pt idx="6">
                  <c:v>-9.6874504638000687</c:v>
                </c:pt>
                <c:pt idx="7">
                  <c:v>-4.8956418491864326</c:v>
                </c:pt>
                <c:pt idx="8">
                  <c:v>0</c:v>
                </c:pt>
                <c:pt idx="9">
                  <c:v>4.9580638284932004</c:v>
                </c:pt>
                <c:pt idx="10">
                  <c:v>9.9485922736637704</c:v>
                </c:pt>
                <c:pt idx="11">
                  <c:v>14.951254099856543</c:v>
                </c:pt>
                <c:pt idx="12">
                  <c:v>19.953996461211752</c:v>
                </c:pt>
                <c:pt idx="13">
                  <c:v>24.952241827344203</c:v>
                </c:pt>
                <c:pt idx="14">
                  <c:v>29.948710179505241</c:v>
                </c:pt>
                <c:pt idx="15">
                  <c:v>34.954036547485941</c:v>
                </c:pt>
                <c:pt idx="16">
                  <c:v>39.988561035214332</c:v>
                </c:pt>
              </c:numCache>
            </c:numRef>
          </c:yVal>
          <c:smooth val="1"/>
          <c:extLst>
            <c:ext xmlns:c16="http://schemas.microsoft.com/office/drawing/2014/chart" uri="{C3380CC4-5D6E-409C-BE32-E72D297353CC}">
              <c16:uniqueId val="{00000000-506D-45FA-BA47-A27BC41FC363}"/>
            </c:ext>
          </c:extLst>
        </c:ser>
        <c:ser>
          <c:idx val="1"/>
          <c:order val="1"/>
          <c:spPr>
            <a:ln w="12700">
              <a:solidFill>
                <a:srgbClr val="0000FF"/>
              </a:solidFill>
              <a:prstDash val="solid"/>
            </a:ln>
          </c:spPr>
          <c:marker>
            <c:symbol val="none"/>
          </c:marker>
          <c:xVal>
            <c:numRef>
              <c:f>Calc_Gaine!$I$61:$I$63</c:f>
              <c:numCache>
                <c:formatCode>0.00</c:formatCode>
                <c:ptCount val="3"/>
                <c:pt idx="0">
                  <c:v>0</c:v>
                </c:pt>
                <c:pt idx="1">
                  <c:v>0</c:v>
                </c:pt>
                <c:pt idx="2">
                  <c:v>0</c:v>
                </c:pt>
              </c:numCache>
            </c:numRef>
          </c:xVal>
          <c:yVal>
            <c:numRef>
              <c:f>Calc_Gaine!$J$61:$J$63</c:f>
              <c:numCache>
                <c:formatCode>0.00</c:formatCode>
                <c:ptCount val="3"/>
                <c:pt idx="0">
                  <c:v>0</c:v>
                </c:pt>
                <c:pt idx="1">
                  <c:v>0</c:v>
                </c:pt>
                <c:pt idx="2">
                  <c:v>0</c:v>
                </c:pt>
              </c:numCache>
            </c:numRef>
          </c:yVal>
          <c:smooth val="1"/>
          <c:extLst>
            <c:ext xmlns:c16="http://schemas.microsoft.com/office/drawing/2014/chart" uri="{C3380CC4-5D6E-409C-BE32-E72D297353CC}">
              <c16:uniqueId val="{00000001-506D-45FA-BA47-A27BC41FC363}"/>
            </c:ext>
          </c:extLst>
        </c:ser>
        <c:dLbls>
          <c:showLegendKey val="0"/>
          <c:showVal val="0"/>
          <c:showCatName val="0"/>
          <c:showSerName val="0"/>
          <c:showPercent val="0"/>
          <c:showBubbleSize val="0"/>
        </c:dLbls>
        <c:axId val="909772832"/>
        <c:axId val="1"/>
      </c:scatterChart>
      <c:valAx>
        <c:axId val="909772832"/>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1"/>
        <c:crossesAt val="0"/>
        <c:crossBetween val="midCat"/>
        <c:majorUnit val="10"/>
      </c:val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909772832"/>
        <c:crossesAt val="0"/>
        <c:crossBetween val="midCat"/>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40380293743576E-3"/>
          <c:y val="2.2222239445560087E-2"/>
          <c:w val="0.98461709149135235"/>
          <c:h val="0.95873090179416365"/>
        </c:manualLayout>
      </c:layout>
      <c:scatterChart>
        <c:scatterStyle val="lineMarker"/>
        <c:varyColors val="0"/>
        <c:ser>
          <c:idx val="0"/>
          <c:order val="0"/>
          <c:spPr>
            <a:ln w="25400">
              <a:solidFill>
                <a:srgbClr val="000080"/>
              </a:solidFill>
              <a:prstDash val="solid"/>
            </a:ln>
          </c:spPr>
          <c:marker>
            <c:symbol val="circle"/>
            <c:size val="7"/>
            <c:spPr>
              <a:solidFill>
                <a:srgbClr val="000080"/>
              </a:solidFill>
              <a:ln>
                <a:solidFill>
                  <a:srgbClr val="000080"/>
                </a:solidFill>
                <a:prstDash val="solid"/>
              </a:ln>
            </c:spPr>
          </c:marker>
          <c:xVal>
            <c:numRef>
              <c:f>Calc_Cable!$C$39:$C$47</c:f>
              <c:numCache>
                <c:formatCode>0.00</c:formatCode>
                <c:ptCount val="9"/>
                <c:pt idx="0">
                  <c:v>0</c:v>
                </c:pt>
                <c:pt idx="1">
                  <c:v>0</c:v>
                </c:pt>
                <c:pt idx="2">
                  <c:v>500.5</c:v>
                </c:pt>
                <c:pt idx="3">
                  <c:v>500</c:v>
                </c:pt>
                <c:pt idx="4">
                  <c:v>570</c:v>
                </c:pt>
                <c:pt idx="5">
                  <c:v>500</c:v>
                </c:pt>
                <c:pt idx="6">
                  <c:v>500.5</c:v>
                </c:pt>
                <c:pt idx="7">
                  <c:v>0</c:v>
                </c:pt>
                <c:pt idx="8">
                  <c:v>0</c:v>
                </c:pt>
              </c:numCache>
            </c:numRef>
          </c:xVal>
          <c:yVal>
            <c:numRef>
              <c:f>Calc_Cable!$D$39:$D$47</c:f>
              <c:numCache>
                <c:formatCode>0.00</c:formatCode>
                <c:ptCount val="9"/>
                <c:pt idx="0">
                  <c:v>0</c:v>
                </c:pt>
                <c:pt idx="1">
                  <c:v>20</c:v>
                </c:pt>
                <c:pt idx="2">
                  <c:v>29.995833043941285</c:v>
                </c:pt>
                <c:pt idx="3">
                  <c:v>0</c:v>
                </c:pt>
                <c:pt idx="4">
                  <c:v>0</c:v>
                </c:pt>
                <c:pt idx="5">
                  <c:v>0</c:v>
                </c:pt>
                <c:pt idx="6">
                  <c:v>-29.995833043941285</c:v>
                </c:pt>
                <c:pt idx="7">
                  <c:v>-20</c:v>
                </c:pt>
                <c:pt idx="8">
                  <c:v>0</c:v>
                </c:pt>
              </c:numCache>
            </c:numRef>
          </c:yVal>
          <c:smooth val="0"/>
          <c:extLst>
            <c:ext xmlns:c16="http://schemas.microsoft.com/office/drawing/2014/chart" uri="{C3380CC4-5D6E-409C-BE32-E72D297353CC}">
              <c16:uniqueId val="{00000000-07D6-427F-A170-9F2F490ED497}"/>
            </c:ext>
          </c:extLst>
        </c:ser>
        <c:ser>
          <c:idx val="1"/>
          <c:order val="1"/>
          <c:spPr>
            <a:ln w="25400">
              <a:solidFill>
                <a:srgbClr val="FF00FF"/>
              </a:solidFill>
              <a:prstDash val="solid"/>
            </a:ln>
          </c:spPr>
          <c:marker>
            <c:symbol val="circle"/>
            <c:size val="7"/>
            <c:spPr>
              <a:solidFill>
                <a:srgbClr val="FF00FF"/>
              </a:solidFill>
              <a:ln>
                <a:solidFill>
                  <a:srgbClr val="FF00FF"/>
                </a:solidFill>
                <a:prstDash val="solid"/>
              </a:ln>
            </c:spPr>
          </c:marker>
          <c:xVal>
            <c:numRef>
              <c:f>Calc_Cable!$C$48:$C$56</c:f>
              <c:numCache>
                <c:formatCode>0.00</c:formatCode>
                <c:ptCount val="9"/>
                <c:pt idx="0">
                  <c:v>0</c:v>
                </c:pt>
                <c:pt idx="1">
                  <c:v>-12.855752193730787</c:v>
                </c:pt>
                <c:pt idx="2">
                  <c:v>487.60028725511717</c:v>
                </c:pt>
                <c:pt idx="3">
                  <c:v>500</c:v>
                </c:pt>
                <c:pt idx="4">
                  <c:v>563.24982503729552</c:v>
                </c:pt>
                <c:pt idx="5">
                  <c:v>500</c:v>
                </c:pt>
                <c:pt idx="6">
                  <c:v>513.30328167398704</c:v>
                </c:pt>
                <c:pt idx="7">
                  <c:v>12.855752193730787</c:v>
                </c:pt>
                <c:pt idx="8">
                  <c:v>0</c:v>
                </c:pt>
              </c:numCache>
            </c:numRef>
          </c:xVal>
          <c:yVal>
            <c:numRef>
              <c:f>Calc_Cable!$D$48:$D$56</c:f>
              <c:numCache>
                <c:formatCode>0.00</c:formatCode>
                <c:ptCount val="9"/>
                <c:pt idx="0">
                  <c:v>0</c:v>
                </c:pt>
                <c:pt idx="1">
                  <c:v>15.32088886237956</c:v>
                </c:pt>
                <c:pt idx="2">
                  <c:v>27.317524116295573</c:v>
                </c:pt>
                <c:pt idx="3">
                  <c:v>0</c:v>
                </c:pt>
                <c:pt idx="4">
                  <c:v>29.990992526948784</c:v>
                </c:pt>
                <c:pt idx="5">
                  <c:v>0</c:v>
                </c:pt>
                <c:pt idx="6">
                  <c:v>-26.889081365910585</c:v>
                </c:pt>
                <c:pt idx="7">
                  <c:v>-15.32088886237956</c:v>
                </c:pt>
                <c:pt idx="8">
                  <c:v>0</c:v>
                </c:pt>
              </c:numCache>
            </c:numRef>
          </c:yVal>
          <c:smooth val="0"/>
          <c:extLst>
            <c:ext xmlns:c16="http://schemas.microsoft.com/office/drawing/2014/chart" uri="{C3380CC4-5D6E-409C-BE32-E72D297353CC}">
              <c16:uniqueId val="{00000001-07D6-427F-A170-9F2F490ED497}"/>
            </c:ext>
          </c:extLst>
        </c:ser>
        <c:ser>
          <c:idx val="2"/>
          <c:order val="2"/>
          <c:spPr>
            <a:ln w="25400">
              <a:solidFill>
                <a:srgbClr val="008000"/>
              </a:solidFill>
              <a:prstDash val="solid"/>
            </a:ln>
          </c:spPr>
          <c:marker>
            <c:symbol val="circle"/>
            <c:size val="7"/>
            <c:spPr>
              <a:solidFill>
                <a:srgbClr val="008000"/>
              </a:solidFill>
              <a:ln>
                <a:solidFill>
                  <a:srgbClr val="008000"/>
                </a:solidFill>
                <a:prstDash val="solid"/>
              </a:ln>
            </c:spPr>
          </c:marker>
          <c:xVal>
            <c:numRef>
              <c:f>Calc_Cable!$C$57:$C$65</c:f>
              <c:numCache>
                <c:formatCode>0.00</c:formatCode>
                <c:ptCount val="9"/>
                <c:pt idx="0">
                  <c:v>0</c:v>
                </c:pt>
                <c:pt idx="1">
                  <c:v>-12.855752193730787</c:v>
                </c:pt>
                <c:pt idx="2">
                  <c:v>487.60028725511717</c:v>
                </c:pt>
                <c:pt idx="3">
                  <c:v>500</c:v>
                </c:pt>
                <c:pt idx="4">
                  <c:v>563.24982503729552</c:v>
                </c:pt>
                <c:pt idx="5">
                  <c:v>500</c:v>
                </c:pt>
                <c:pt idx="6">
                  <c:v>513.30328167398704</c:v>
                </c:pt>
                <c:pt idx="7">
                  <c:v>12.855752193730787</c:v>
                </c:pt>
                <c:pt idx="8">
                  <c:v>0</c:v>
                </c:pt>
              </c:numCache>
            </c:numRef>
          </c:xVal>
          <c:yVal>
            <c:numRef>
              <c:f>Calc_Cable!$D$57:$D$65</c:f>
              <c:numCache>
                <c:formatCode>0.00</c:formatCode>
                <c:ptCount val="9"/>
                <c:pt idx="0">
                  <c:v>0</c:v>
                </c:pt>
                <c:pt idx="1">
                  <c:v>-15.32088886237956</c:v>
                </c:pt>
                <c:pt idx="2">
                  <c:v>-27.317524116295573</c:v>
                </c:pt>
                <c:pt idx="3">
                  <c:v>0</c:v>
                </c:pt>
                <c:pt idx="4">
                  <c:v>-29.990992526948784</c:v>
                </c:pt>
                <c:pt idx="5">
                  <c:v>0</c:v>
                </c:pt>
                <c:pt idx="6">
                  <c:v>26.889081365910585</c:v>
                </c:pt>
                <c:pt idx="7">
                  <c:v>15.32088886237956</c:v>
                </c:pt>
                <c:pt idx="8">
                  <c:v>0</c:v>
                </c:pt>
              </c:numCache>
            </c:numRef>
          </c:yVal>
          <c:smooth val="0"/>
          <c:extLst>
            <c:ext xmlns:c16="http://schemas.microsoft.com/office/drawing/2014/chart" uri="{C3380CC4-5D6E-409C-BE32-E72D297353CC}">
              <c16:uniqueId val="{00000002-07D6-427F-A170-9F2F490ED497}"/>
            </c:ext>
          </c:extLst>
        </c:ser>
        <c:ser>
          <c:idx val="3"/>
          <c:order val="3"/>
          <c:spPr>
            <a:ln w="28575">
              <a:noFill/>
            </a:ln>
          </c:spPr>
          <c:marker>
            <c:symbol val="none"/>
          </c:marker>
          <c:xVal>
            <c:numRef>
              <c:f>'P-P Kabels'!$H$24:$H$25</c:f>
              <c:numCache>
                <c:formatCode>0.00</c:formatCode>
                <c:ptCount val="2"/>
                <c:pt idx="0">
                  <c:v>0</c:v>
                </c:pt>
                <c:pt idx="1">
                  <c:v>0</c:v>
                </c:pt>
              </c:numCache>
            </c:numRef>
          </c:xVal>
          <c:yVal>
            <c:numRef>
              <c:f>'P-P Kabels'!$I$24:$I$25</c:f>
              <c:numCache>
                <c:formatCode>0.00</c:formatCode>
                <c:ptCount val="2"/>
                <c:pt idx="0">
                  <c:v>95</c:v>
                </c:pt>
                <c:pt idx="1">
                  <c:v>-95</c:v>
                </c:pt>
              </c:numCache>
            </c:numRef>
          </c:yVal>
          <c:smooth val="0"/>
          <c:extLst>
            <c:ext xmlns:c16="http://schemas.microsoft.com/office/drawing/2014/chart" uri="{C3380CC4-5D6E-409C-BE32-E72D297353CC}">
              <c16:uniqueId val="{00000003-07D6-427F-A170-9F2F490ED497}"/>
            </c:ext>
          </c:extLst>
        </c:ser>
        <c:ser>
          <c:idx val="4"/>
          <c:order val="4"/>
          <c:spPr>
            <a:ln w="28575">
              <a:noFill/>
            </a:ln>
          </c:spPr>
          <c:marker>
            <c:symbol val="none"/>
          </c:marker>
          <c:xVal>
            <c:numRef>
              <c:f>Calc_Cable!$C$69:$C$70</c:f>
              <c:numCache>
                <c:formatCode>0</c:formatCode>
                <c:ptCount val="2"/>
                <c:pt idx="0">
                  <c:v>149.97916521970643</c:v>
                </c:pt>
                <c:pt idx="1">
                  <c:v>0</c:v>
                </c:pt>
              </c:numCache>
            </c:numRef>
          </c:xVal>
          <c:yVal>
            <c:numRef>
              <c:f>Calc_Cable!$D$69:$D$70</c:f>
              <c:numCache>
                <c:formatCode>0</c:formatCode>
                <c:ptCount val="2"/>
                <c:pt idx="0">
                  <c:v>114</c:v>
                </c:pt>
                <c:pt idx="1">
                  <c:v>-114</c:v>
                </c:pt>
              </c:numCache>
            </c:numRef>
          </c:yVal>
          <c:smooth val="0"/>
          <c:extLst>
            <c:ext xmlns:c16="http://schemas.microsoft.com/office/drawing/2014/chart" uri="{C3380CC4-5D6E-409C-BE32-E72D297353CC}">
              <c16:uniqueId val="{00000004-07D6-427F-A170-9F2F490ED497}"/>
            </c:ext>
          </c:extLst>
        </c:ser>
        <c:dLbls>
          <c:showLegendKey val="0"/>
          <c:showVal val="0"/>
          <c:showCatName val="0"/>
          <c:showSerName val="0"/>
          <c:showPercent val="0"/>
          <c:showBubbleSize val="0"/>
        </c:dLbls>
        <c:axId val="909774080"/>
        <c:axId val="1"/>
      </c:scatterChart>
      <c:valAx>
        <c:axId val="909774080"/>
        <c:scaling>
          <c:orientation val="minMax"/>
        </c:scaling>
        <c:delete val="0"/>
        <c:axPos val="b"/>
        <c:numFmt formatCode="0.00" sourceLinked="1"/>
        <c:majorTickMark val="none"/>
        <c:minorTickMark val="none"/>
        <c:tickLblPos val="none"/>
        <c:spPr>
          <a:ln w="3175">
            <a:solidFill>
              <a:srgbClr val="000000"/>
            </a:solidFill>
            <a:prstDash val="solid"/>
          </a:ln>
        </c:spPr>
        <c:crossAx val="1"/>
        <c:crosses val="autoZero"/>
        <c:crossBetween val="midCat"/>
        <c:majorUnit val="5"/>
      </c:valAx>
      <c:valAx>
        <c:axId val="1"/>
        <c:scaling>
          <c:orientation val="minMax"/>
        </c:scaling>
        <c:delete val="0"/>
        <c:axPos val="l"/>
        <c:numFmt formatCode="0.00" sourceLinked="1"/>
        <c:majorTickMark val="none"/>
        <c:minorTickMark val="none"/>
        <c:tickLblPos val="none"/>
        <c:spPr>
          <a:ln w="3175">
            <a:solidFill>
              <a:srgbClr val="000000"/>
            </a:solidFill>
            <a:prstDash val="solid"/>
          </a:ln>
        </c:spPr>
        <c:crossAx val="909774080"/>
        <c:crosses val="autoZero"/>
        <c:crossBetween val="midCat"/>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l-NL"/>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r>
              <a:rPr lang="nl-NL" sz="900" b="1" i="0" baseline="0">
                <a:effectLst/>
              </a:rPr>
              <a:t>Hoek servo / Hoek Roer</a:t>
            </a:r>
            <a:endParaRPr lang="nl-NL" sz="900">
              <a:effectLst/>
            </a:endParaRPr>
          </a:p>
        </c:rich>
      </c:tx>
      <c:layout>
        <c:manualLayout>
          <c:xMode val="edge"/>
          <c:yMode val="edge"/>
          <c:x val="0.33821237638136881"/>
          <c:y val="2.2408963585434174E-2"/>
        </c:manualLayout>
      </c:layout>
      <c:overlay val="0"/>
      <c:spPr>
        <a:noFill/>
        <a:ln w="25400">
          <a:noFill/>
        </a:ln>
      </c:spPr>
    </c:title>
    <c:autoTitleDeleted val="0"/>
    <c:plotArea>
      <c:layout>
        <c:manualLayout>
          <c:layoutTarget val="inner"/>
          <c:xMode val="edge"/>
          <c:yMode val="edge"/>
          <c:x val="3.0303061440270878E-2"/>
          <c:y val="9.7506046794354734E-2"/>
          <c:w val="0.94107840806174547"/>
          <c:h val="0.86394892624765485"/>
        </c:manualLayout>
      </c:layout>
      <c:scatterChart>
        <c:scatterStyle val="smoothMarker"/>
        <c:varyColors val="0"/>
        <c:ser>
          <c:idx val="0"/>
          <c:order val="0"/>
          <c:spPr>
            <a:ln w="12700">
              <a:solidFill>
                <a:srgbClr val="FF0000"/>
              </a:solidFill>
              <a:prstDash val="solid"/>
            </a:ln>
          </c:spPr>
          <c:marker>
            <c:symbol val="diamond"/>
            <c:size val="3"/>
            <c:spPr>
              <a:solidFill>
                <a:srgbClr val="FF0000"/>
              </a:solidFill>
              <a:ln>
                <a:solidFill>
                  <a:srgbClr val="FF0000"/>
                </a:solidFill>
                <a:prstDash val="solid"/>
              </a:ln>
            </c:spPr>
          </c:marker>
          <c:xVal>
            <c:numRef>
              <c:f>Calc_Cable!$H$38:$H$54</c:f>
              <c:numCache>
                <c:formatCode>0.00</c:formatCode>
                <c:ptCount val="17"/>
                <c:pt idx="0">
                  <c:v>-40</c:v>
                </c:pt>
                <c:pt idx="1">
                  <c:v>-35</c:v>
                </c:pt>
                <c:pt idx="2">
                  <c:v>-30</c:v>
                </c:pt>
                <c:pt idx="3">
                  <c:v>-25</c:v>
                </c:pt>
                <c:pt idx="4">
                  <c:v>-20</c:v>
                </c:pt>
                <c:pt idx="5">
                  <c:v>-15</c:v>
                </c:pt>
                <c:pt idx="6">
                  <c:v>-10</c:v>
                </c:pt>
                <c:pt idx="7">
                  <c:v>-5</c:v>
                </c:pt>
                <c:pt idx="8">
                  <c:v>0</c:v>
                </c:pt>
                <c:pt idx="9">
                  <c:v>5</c:v>
                </c:pt>
                <c:pt idx="10">
                  <c:v>10</c:v>
                </c:pt>
                <c:pt idx="11">
                  <c:v>15</c:v>
                </c:pt>
                <c:pt idx="12">
                  <c:v>20</c:v>
                </c:pt>
                <c:pt idx="13">
                  <c:v>25</c:v>
                </c:pt>
                <c:pt idx="14">
                  <c:v>30</c:v>
                </c:pt>
                <c:pt idx="15">
                  <c:v>35</c:v>
                </c:pt>
                <c:pt idx="16">
                  <c:v>40</c:v>
                </c:pt>
              </c:numCache>
            </c:numRef>
          </c:xVal>
          <c:yVal>
            <c:numRef>
              <c:f>Calc_Cable!$I$38:$I$54</c:f>
              <c:numCache>
                <c:formatCode>0.00</c:formatCode>
                <c:ptCount val="17"/>
                <c:pt idx="0">
                  <c:v>-25.368773698347276</c:v>
                </c:pt>
                <c:pt idx="1">
                  <c:v>-22.474244148633225</c:v>
                </c:pt>
                <c:pt idx="2">
                  <c:v>-19.46452844466198</c:v>
                </c:pt>
                <c:pt idx="3">
                  <c:v>-16.359537818627359</c:v>
                </c:pt>
                <c:pt idx="4">
                  <c:v>-13.177506139256037</c:v>
                </c:pt>
                <c:pt idx="5">
                  <c:v>-9.9352457175617168</c:v>
                </c:pt>
                <c:pt idx="6">
                  <c:v>-6.6484337292203701</c:v>
                </c:pt>
                <c:pt idx="7">
                  <c:v>-3.3319130821504359</c:v>
                </c:pt>
                <c:pt idx="8">
                  <c:v>0</c:v>
                </c:pt>
                <c:pt idx="9">
                  <c:v>3.3319130821504359</c:v>
                </c:pt>
                <c:pt idx="10">
                  <c:v>6.6484337292203701</c:v>
                </c:pt>
                <c:pt idx="11">
                  <c:v>9.9352457175617168</c:v>
                </c:pt>
                <c:pt idx="12">
                  <c:v>13.177506139256037</c:v>
                </c:pt>
                <c:pt idx="13">
                  <c:v>16.359537818627359</c:v>
                </c:pt>
                <c:pt idx="14">
                  <c:v>19.46452844466198</c:v>
                </c:pt>
                <c:pt idx="15">
                  <c:v>22.474244148633225</c:v>
                </c:pt>
                <c:pt idx="16">
                  <c:v>25.368773698347276</c:v>
                </c:pt>
              </c:numCache>
            </c:numRef>
          </c:yVal>
          <c:smooth val="1"/>
          <c:extLst>
            <c:ext xmlns:c16="http://schemas.microsoft.com/office/drawing/2014/chart" uri="{C3380CC4-5D6E-409C-BE32-E72D297353CC}">
              <c16:uniqueId val="{00000000-5890-42BF-95F0-6EA53EF632E5}"/>
            </c:ext>
          </c:extLst>
        </c:ser>
        <c:ser>
          <c:idx val="1"/>
          <c:order val="1"/>
          <c:spPr>
            <a:ln w="12700">
              <a:solidFill>
                <a:srgbClr val="0000FF"/>
              </a:solidFill>
              <a:prstDash val="solid"/>
            </a:ln>
          </c:spPr>
          <c:marker>
            <c:symbol val="none"/>
          </c:marker>
          <c:xVal>
            <c:numRef>
              <c:f>Calc_Cable!$H$56:$H$58</c:f>
              <c:numCache>
                <c:formatCode>0.00</c:formatCode>
                <c:ptCount val="3"/>
                <c:pt idx="0">
                  <c:v>0</c:v>
                </c:pt>
                <c:pt idx="1">
                  <c:v>0</c:v>
                </c:pt>
                <c:pt idx="2">
                  <c:v>0</c:v>
                </c:pt>
              </c:numCache>
            </c:numRef>
          </c:xVal>
          <c:yVal>
            <c:numRef>
              <c:f>Calc_Cable!$I$56:$I$58</c:f>
              <c:numCache>
                <c:formatCode>0.00</c:formatCode>
                <c:ptCount val="3"/>
                <c:pt idx="0">
                  <c:v>0</c:v>
                </c:pt>
                <c:pt idx="1">
                  <c:v>0</c:v>
                </c:pt>
                <c:pt idx="2">
                  <c:v>0</c:v>
                </c:pt>
              </c:numCache>
            </c:numRef>
          </c:yVal>
          <c:smooth val="1"/>
          <c:extLst>
            <c:ext xmlns:c16="http://schemas.microsoft.com/office/drawing/2014/chart" uri="{C3380CC4-5D6E-409C-BE32-E72D297353CC}">
              <c16:uniqueId val="{00000001-5890-42BF-95F0-6EA53EF632E5}"/>
            </c:ext>
          </c:extLst>
        </c:ser>
        <c:dLbls>
          <c:showLegendKey val="0"/>
          <c:showVal val="0"/>
          <c:showCatName val="0"/>
          <c:showSerName val="0"/>
          <c:showPercent val="0"/>
          <c:showBubbleSize val="0"/>
        </c:dLbls>
        <c:axId val="909772000"/>
        <c:axId val="1"/>
      </c:scatterChart>
      <c:valAx>
        <c:axId val="909772000"/>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1"/>
        <c:crossesAt val="0"/>
        <c:crossBetween val="midCat"/>
        <c:majorUnit val="10"/>
      </c:val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909772000"/>
        <c:crossesAt val="0"/>
        <c:crossBetween val="midCat"/>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4921259845" footer="0.4921259845"/>
    <c:pageSetup/>
  </c:printSettings>
</c:chartSpace>
</file>

<file path=xl/ctrlProps/ctrlProp1.xml><?xml version="1.0" encoding="utf-8"?>
<formControlPr xmlns="http://schemas.microsoft.com/office/spreadsheetml/2009/9/main" objectType="Spin" dx="16" fmlaLink="$H$5" max="1" page="10"/>
</file>

<file path=xl/ctrlProps/ctrlProp2.xml><?xml version="1.0" encoding="utf-8"?>
<formControlPr xmlns="http://schemas.microsoft.com/office/spreadsheetml/2009/9/main" objectType="Spin" dx="16" fmlaLink="$H$8" max="1" page="10" val="0"/>
</file>

<file path=xl/ctrlProps/ctrlProp3.xml><?xml version="1.0" encoding="utf-8"?>
<formControlPr xmlns="http://schemas.microsoft.com/office/spreadsheetml/2009/9/main" objectType="CheckBox" fmlaLink="Calc_Tringle!$J$39" lockText="1" noThreeD="1"/>
</file>

<file path=xl/ctrlProps/ctrlProp4.xml><?xml version="1.0" encoding="utf-8"?>
<formControlPr xmlns="http://schemas.microsoft.com/office/spreadsheetml/2009/9/main" objectType="CheckBox" fmlaLink="Calc_Gaine!$J$66" lockText="1" noThreeD="1"/>
</file>

<file path=xl/ctrlProps/ctrlProp5.xml><?xml version="1.0" encoding="utf-8"?>
<formControlPr xmlns="http://schemas.microsoft.com/office/spreadsheetml/2009/9/main" objectType="CheckBox" fmlaLink="Calc_Cable!$I$61"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png"/><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0</xdr:rowOff>
    </xdr:from>
    <xdr:to>
      <xdr:col>11</xdr:col>
      <xdr:colOff>0</xdr:colOff>
      <xdr:row>37</xdr:row>
      <xdr:rowOff>0</xdr:rowOff>
    </xdr:to>
    <xdr:graphicFrame macro="">
      <xdr:nvGraphicFramePr>
        <xdr:cNvPr id="7217" name="Grafiek 2">
          <a:extLst>
            <a:ext uri="{FF2B5EF4-FFF2-40B4-BE49-F238E27FC236}">
              <a16:creationId xmlns:a16="http://schemas.microsoft.com/office/drawing/2014/main" id="{00000000-0008-0000-0000-00003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7</xdr:col>
          <xdr:colOff>57150</xdr:colOff>
          <xdr:row>3</xdr:row>
          <xdr:rowOff>19050</xdr:rowOff>
        </xdr:from>
        <xdr:to>
          <xdr:col>8</xdr:col>
          <xdr:colOff>0</xdr:colOff>
          <xdr:row>5</xdr:row>
          <xdr:rowOff>19050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6</xdr:row>
          <xdr:rowOff>0</xdr:rowOff>
        </xdr:from>
        <xdr:to>
          <xdr:col>8</xdr:col>
          <xdr:colOff>9525</xdr:colOff>
          <xdr:row>7</xdr:row>
          <xdr:rowOff>142875</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9</xdr:col>
      <xdr:colOff>171450</xdr:colOff>
      <xdr:row>3</xdr:row>
      <xdr:rowOff>9525</xdr:rowOff>
    </xdr:from>
    <xdr:to>
      <xdr:col>16</xdr:col>
      <xdr:colOff>752475</xdr:colOff>
      <xdr:row>15</xdr:row>
      <xdr:rowOff>47625</xdr:rowOff>
    </xdr:to>
    <xdr:pic>
      <xdr:nvPicPr>
        <xdr:cNvPr id="7218" name="Picture 9" descr="Cinégouvernes1">
          <a:extLst>
            <a:ext uri="{FF2B5EF4-FFF2-40B4-BE49-F238E27FC236}">
              <a16:creationId xmlns:a16="http://schemas.microsoft.com/office/drawing/2014/main" id="{00000000-0008-0000-0000-000032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57775" y="638175"/>
          <a:ext cx="5915025" cy="19812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180975</xdr:colOff>
      <xdr:row>16</xdr:row>
      <xdr:rowOff>0</xdr:rowOff>
    </xdr:from>
    <xdr:to>
      <xdr:col>17</xdr:col>
      <xdr:colOff>0</xdr:colOff>
      <xdr:row>37</xdr:row>
      <xdr:rowOff>0</xdr:rowOff>
    </xdr:to>
    <xdr:graphicFrame macro="">
      <xdr:nvGraphicFramePr>
        <xdr:cNvPr id="7219" name="Grafiek 11">
          <a:extLst>
            <a:ext uri="{FF2B5EF4-FFF2-40B4-BE49-F238E27FC236}">
              <a16:creationId xmlns:a16="http://schemas.microsoft.com/office/drawing/2014/main" id="{00000000-0008-0000-0000-000033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16</xdr:col>
          <xdr:colOff>0</xdr:colOff>
          <xdr:row>16</xdr:row>
          <xdr:rowOff>38100</xdr:rowOff>
        </xdr:from>
        <xdr:to>
          <xdr:col>16</xdr:col>
          <xdr:colOff>723900</xdr:colOff>
          <xdr:row>17</xdr:row>
          <xdr:rowOff>95250</xdr:rowOff>
        </xdr:to>
        <xdr:sp macro="" textlink="">
          <xdr:nvSpPr>
            <xdr:cNvPr id="7180" name="Check Box 12" descr="Afficher segments"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Segments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22</xdr:row>
      <xdr:rowOff>0</xdr:rowOff>
    </xdr:from>
    <xdr:to>
      <xdr:col>11</xdr:col>
      <xdr:colOff>0</xdr:colOff>
      <xdr:row>37</xdr:row>
      <xdr:rowOff>0</xdr:rowOff>
    </xdr:to>
    <xdr:graphicFrame macro="">
      <xdr:nvGraphicFramePr>
        <xdr:cNvPr id="5161" name="Grafiek 1">
          <a:extLst>
            <a:ext uri="{FF2B5EF4-FFF2-40B4-BE49-F238E27FC236}">
              <a16:creationId xmlns:a16="http://schemas.microsoft.com/office/drawing/2014/main" id="{00000000-0008-0000-0100-00002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428625</xdr:colOff>
      <xdr:row>3</xdr:row>
      <xdr:rowOff>0</xdr:rowOff>
    </xdr:from>
    <xdr:to>
      <xdr:col>17</xdr:col>
      <xdr:colOff>0</xdr:colOff>
      <xdr:row>12</xdr:row>
      <xdr:rowOff>152400</xdr:rowOff>
    </xdr:to>
    <xdr:pic>
      <xdr:nvPicPr>
        <xdr:cNvPr id="5162" name="Picture 2" descr="Cinégouvernes2">
          <a:extLst>
            <a:ext uri="{FF2B5EF4-FFF2-40B4-BE49-F238E27FC236}">
              <a16:creationId xmlns:a16="http://schemas.microsoft.com/office/drawing/2014/main" id="{00000000-0008-0000-0100-00002A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628650"/>
          <a:ext cx="7429500" cy="16097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180975</xdr:colOff>
      <xdr:row>16</xdr:row>
      <xdr:rowOff>0</xdr:rowOff>
    </xdr:from>
    <xdr:to>
      <xdr:col>17</xdr:col>
      <xdr:colOff>0</xdr:colOff>
      <xdr:row>37</xdr:row>
      <xdr:rowOff>0</xdr:rowOff>
    </xdr:to>
    <xdr:graphicFrame macro="">
      <xdr:nvGraphicFramePr>
        <xdr:cNvPr id="5163" name="Grafiek 3">
          <a:extLst>
            <a:ext uri="{FF2B5EF4-FFF2-40B4-BE49-F238E27FC236}">
              <a16:creationId xmlns:a16="http://schemas.microsoft.com/office/drawing/2014/main" id="{00000000-0008-0000-0100-00002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16</xdr:col>
          <xdr:colOff>9525</xdr:colOff>
          <xdr:row>16</xdr:row>
          <xdr:rowOff>38100</xdr:rowOff>
        </xdr:from>
        <xdr:to>
          <xdr:col>16</xdr:col>
          <xdr:colOff>723900</xdr:colOff>
          <xdr:row>17</xdr:row>
          <xdr:rowOff>95250</xdr:rowOff>
        </xdr:to>
        <xdr:sp macro="" textlink="">
          <xdr:nvSpPr>
            <xdr:cNvPr id="5124" name="Check Box 4" descr="Afficher segments"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Segments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22</xdr:row>
      <xdr:rowOff>0</xdr:rowOff>
    </xdr:from>
    <xdr:to>
      <xdr:col>11</xdr:col>
      <xdr:colOff>0</xdr:colOff>
      <xdr:row>37</xdr:row>
      <xdr:rowOff>0</xdr:rowOff>
    </xdr:to>
    <xdr:graphicFrame macro="">
      <xdr:nvGraphicFramePr>
        <xdr:cNvPr id="8234" name="Grafiek 1">
          <a:extLst>
            <a:ext uri="{FF2B5EF4-FFF2-40B4-BE49-F238E27FC236}">
              <a16:creationId xmlns:a16="http://schemas.microsoft.com/office/drawing/2014/main" id="{00000000-0008-0000-0200-00002A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333375</xdr:colOff>
      <xdr:row>3</xdr:row>
      <xdr:rowOff>9525</xdr:rowOff>
    </xdr:from>
    <xdr:to>
      <xdr:col>17</xdr:col>
      <xdr:colOff>0</xdr:colOff>
      <xdr:row>14</xdr:row>
      <xdr:rowOff>47625</xdr:rowOff>
    </xdr:to>
    <xdr:pic>
      <xdr:nvPicPr>
        <xdr:cNvPr id="8235" name="Picture 2" descr="Cinégouvernes3">
          <a:extLst>
            <a:ext uri="{FF2B5EF4-FFF2-40B4-BE49-F238E27FC236}">
              <a16:creationId xmlns:a16="http://schemas.microsoft.com/office/drawing/2014/main" id="{00000000-0008-0000-0200-00002B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9575" y="638175"/>
          <a:ext cx="6762750" cy="181927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180975</xdr:colOff>
      <xdr:row>16</xdr:row>
      <xdr:rowOff>0</xdr:rowOff>
    </xdr:from>
    <xdr:to>
      <xdr:col>17</xdr:col>
      <xdr:colOff>0</xdr:colOff>
      <xdr:row>37</xdr:row>
      <xdr:rowOff>0</xdr:rowOff>
    </xdr:to>
    <xdr:graphicFrame macro="">
      <xdr:nvGraphicFramePr>
        <xdr:cNvPr id="8236" name="Grafiek 3">
          <a:extLst>
            <a:ext uri="{FF2B5EF4-FFF2-40B4-BE49-F238E27FC236}">
              <a16:creationId xmlns:a16="http://schemas.microsoft.com/office/drawing/2014/main" id="{00000000-0008-0000-0200-00002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16</xdr:col>
          <xdr:colOff>9525</xdr:colOff>
          <xdr:row>16</xdr:row>
          <xdr:rowOff>38100</xdr:rowOff>
        </xdr:from>
        <xdr:to>
          <xdr:col>16</xdr:col>
          <xdr:colOff>723900</xdr:colOff>
          <xdr:row>17</xdr:row>
          <xdr:rowOff>95250</xdr:rowOff>
        </xdr:to>
        <xdr:sp macro="" textlink="">
          <xdr:nvSpPr>
            <xdr:cNvPr id="8197" name="Check Box 5" descr="Afficher segments"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Segments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13</xdr:row>
      <xdr:rowOff>76200</xdr:rowOff>
    </xdr:from>
    <xdr:to>
      <xdr:col>10</xdr:col>
      <xdr:colOff>485775</xdr:colOff>
      <xdr:row>25</xdr:row>
      <xdr:rowOff>104775</xdr:rowOff>
    </xdr:to>
    <xdr:pic>
      <xdr:nvPicPr>
        <xdr:cNvPr id="11278" name="Picture 1" descr="Débattements">
          <a:extLst>
            <a:ext uri="{FF2B5EF4-FFF2-40B4-BE49-F238E27FC236}">
              <a16:creationId xmlns:a16="http://schemas.microsoft.com/office/drawing/2014/main" id="{00000000-0008-0000-0300-00000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2085975"/>
          <a:ext cx="2419350" cy="1971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info@ruijsink.n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Q39"/>
  <sheetViews>
    <sheetView showGridLines="0" showRowColHeaders="0" zoomScaleNormal="100" workbookViewId="0">
      <selection activeCell="D44" sqref="D44"/>
    </sheetView>
  </sheetViews>
  <sheetFormatPr defaultColWidth="11.42578125" defaultRowHeight="12.75" x14ac:dyDescent="0.2"/>
  <cols>
    <col min="1" max="1" width="2.28515625" style="2" customWidth="1"/>
    <col min="2" max="2" width="30.7109375" style="2" customWidth="1"/>
    <col min="3" max="4" width="6.28515625" style="2" customWidth="1"/>
    <col min="5" max="5" width="4.7109375" style="2" customWidth="1"/>
    <col min="6" max="6" width="2.5703125" style="2" customWidth="1"/>
    <col min="7" max="7" width="11.42578125" style="2"/>
    <col min="8" max="8" width="5.5703125" style="2" customWidth="1"/>
    <col min="9" max="9" width="9.42578125" style="2" customWidth="1"/>
    <col min="10" max="16384" width="11.42578125" style="2"/>
  </cols>
  <sheetData>
    <row r="2" spans="1:17" ht="24" customHeight="1" x14ac:dyDescent="0.2">
      <c r="B2" s="88" t="s">
        <v>169</v>
      </c>
      <c r="C2" s="88"/>
      <c r="D2" s="88"/>
      <c r="E2" s="88"/>
      <c r="F2" s="88"/>
      <c r="G2" s="88"/>
      <c r="H2" s="88"/>
      <c r="I2" s="88"/>
      <c r="J2" s="88"/>
      <c r="K2" s="88"/>
      <c r="L2" s="88"/>
      <c r="M2" s="88"/>
      <c r="N2" s="88"/>
      <c r="O2" s="88"/>
      <c r="P2" s="88"/>
      <c r="Q2" s="88"/>
    </row>
    <row r="3" spans="1:17" s="48" customFormat="1" ht="12.75" customHeight="1" thickBot="1" x14ac:dyDescent="0.25">
      <c r="A3" s="46"/>
      <c r="B3" s="47"/>
      <c r="C3" s="47"/>
      <c r="D3" s="47"/>
      <c r="E3" s="47"/>
      <c r="F3" s="47"/>
      <c r="G3" s="47"/>
      <c r="H3" s="47"/>
      <c r="I3" s="47"/>
      <c r="J3" s="47"/>
      <c r="K3" s="47"/>
      <c r="L3" s="47"/>
      <c r="M3" s="47"/>
      <c r="N3" s="47"/>
      <c r="O3" s="47"/>
      <c r="P3" s="47"/>
      <c r="Q3" s="47"/>
    </row>
    <row r="4" spans="1:17" ht="12.75" customHeight="1" x14ac:dyDescent="0.2">
      <c r="B4" s="18" t="s">
        <v>151</v>
      </c>
      <c r="C4" s="4"/>
      <c r="D4" s="4"/>
      <c r="E4" s="5"/>
      <c r="G4" s="85" t="s">
        <v>157</v>
      </c>
      <c r="H4" s="4"/>
      <c r="I4" s="43" t="str">
        <f>IF(H5=1,"Boven","")</f>
        <v>Boven</v>
      </c>
    </row>
    <row r="5" spans="1:17" ht="12.75" customHeight="1" x14ac:dyDescent="0.2">
      <c r="B5" s="6" t="s">
        <v>150</v>
      </c>
      <c r="C5" s="20" t="s">
        <v>102</v>
      </c>
      <c r="D5" s="41">
        <v>80</v>
      </c>
      <c r="E5" s="16" t="s">
        <v>111</v>
      </c>
      <c r="G5" s="86"/>
      <c r="H5" s="7">
        <v>1</v>
      </c>
      <c r="I5" s="44" t="str">
        <f>IF(H5=0,"Onder","")</f>
        <v/>
      </c>
      <c r="K5"/>
    </row>
    <row r="6" spans="1:17" ht="12.75" customHeight="1" x14ac:dyDescent="0.2">
      <c r="B6" s="6" t="s">
        <v>149</v>
      </c>
      <c r="C6" s="20" t="s">
        <v>103</v>
      </c>
      <c r="D6" s="41">
        <v>2.5</v>
      </c>
      <c r="E6" s="16" t="s">
        <v>111</v>
      </c>
      <c r="G6" s="6"/>
      <c r="H6" s="7"/>
      <c r="I6" s="44"/>
    </row>
    <row r="7" spans="1:17" ht="12.75" customHeight="1" x14ac:dyDescent="0.2">
      <c r="B7" s="79" t="s">
        <v>161</v>
      </c>
      <c r="C7" s="20" t="s">
        <v>105</v>
      </c>
      <c r="D7" s="41">
        <v>9</v>
      </c>
      <c r="E7" s="16" t="s">
        <v>111</v>
      </c>
      <c r="G7" s="86" t="s">
        <v>158</v>
      </c>
      <c r="H7" s="7"/>
      <c r="I7" s="44" t="str">
        <f>IF(H8=1,"Boven","")</f>
        <v/>
      </c>
    </row>
    <row r="8" spans="1:17" ht="12.75" customHeight="1" thickBot="1" x14ac:dyDescent="0.25">
      <c r="B8" s="79" t="s">
        <v>185</v>
      </c>
      <c r="C8" s="20" t="s">
        <v>106</v>
      </c>
      <c r="D8" s="41">
        <v>1</v>
      </c>
      <c r="E8" s="16" t="s">
        <v>111</v>
      </c>
      <c r="G8" s="87"/>
      <c r="H8" s="9">
        <v>0</v>
      </c>
      <c r="I8" s="45" t="str">
        <f>IF(H8=0,"Onder","")</f>
        <v>Onder</v>
      </c>
    </row>
    <row r="9" spans="1:17" ht="12.75" customHeight="1" x14ac:dyDescent="0.2">
      <c r="B9" s="79" t="s">
        <v>164</v>
      </c>
      <c r="C9" s="20" t="s">
        <v>107</v>
      </c>
      <c r="D9" s="41">
        <v>10</v>
      </c>
      <c r="E9" s="16" t="s">
        <v>111</v>
      </c>
    </row>
    <row r="10" spans="1:17" ht="12.75" customHeight="1" x14ac:dyDescent="0.2">
      <c r="B10" s="6" t="s">
        <v>152</v>
      </c>
      <c r="C10" s="20" t="s">
        <v>108</v>
      </c>
      <c r="D10" s="41">
        <v>-3</v>
      </c>
      <c r="E10" s="16" t="s">
        <v>111</v>
      </c>
    </row>
    <row r="11" spans="1:17" ht="12.75" customHeight="1" x14ac:dyDescent="0.2">
      <c r="B11" s="6" t="s">
        <v>153</v>
      </c>
      <c r="C11" s="20" t="s">
        <v>110</v>
      </c>
      <c r="D11" s="41">
        <v>35</v>
      </c>
      <c r="E11" s="16" t="s">
        <v>111</v>
      </c>
    </row>
    <row r="12" spans="1:17" ht="12.75" customHeight="1" x14ac:dyDescent="0.2">
      <c r="B12" s="79" t="s">
        <v>186</v>
      </c>
      <c r="C12" s="20" t="s">
        <v>104</v>
      </c>
      <c r="D12" s="41">
        <v>-20</v>
      </c>
      <c r="E12" s="16" t="s">
        <v>112</v>
      </c>
    </row>
    <row r="13" spans="1:17" ht="12.75" customHeight="1" thickBot="1" x14ac:dyDescent="0.25">
      <c r="B13" s="8" t="s">
        <v>159</v>
      </c>
      <c r="C13" s="21" t="s">
        <v>109</v>
      </c>
      <c r="D13" s="42">
        <v>45</v>
      </c>
      <c r="E13" s="19" t="s">
        <v>112</v>
      </c>
    </row>
    <row r="14" spans="1:17" ht="12.75" customHeight="1" x14ac:dyDescent="0.2"/>
    <row r="15" spans="1:17" ht="12.75" customHeight="1" thickBot="1" x14ac:dyDescent="0.25"/>
    <row r="16" spans="1:17" ht="12.75" customHeight="1" x14ac:dyDescent="0.2">
      <c r="B16" s="18" t="s">
        <v>154</v>
      </c>
      <c r="C16" s="4"/>
      <c r="D16" s="4"/>
      <c r="E16" s="5"/>
    </row>
    <row r="17" spans="2:13" ht="12.75" customHeight="1" x14ac:dyDescent="0.2">
      <c r="B17" s="6" t="s">
        <v>155</v>
      </c>
      <c r="C17" s="7"/>
      <c r="D17" s="67">
        <f>Calc_Tringle!D12</f>
        <v>77.662587598152882</v>
      </c>
      <c r="E17" s="68" t="s">
        <v>111</v>
      </c>
    </row>
    <row r="18" spans="2:13" ht="12.75" customHeight="1" x14ac:dyDescent="0.2">
      <c r="B18" s="6" t="s">
        <v>156</v>
      </c>
      <c r="C18" s="7"/>
      <c r="D18" s="67">
        <f>IF(Calc_Tringle!I6=-1,Calc_Tringle!D29,Calc_Tringle!I29)</f>
        <v>39.151331842076608</v>
      </c>
      <c r="E18" s="69" t="s">
        <v>112</v>
      </c>
    </row>
    <row r="19" spans="2:13" ht="12.75" customHeight="1" x14ac:dyDescent="0.2">
      <c r="B19" s="6" t="s">
        <v>156</v>
      </c>
      <c r="C19" s="7"/>
      <c r="D19" s="67">
        <f>IF(Calc_Tringle!I6=-1,Calc_Tringle!I29,Calc_Tringle!D29)</f>
        <v>-41.441978367157233</v>
      </c>
      <c r="E19" s="69" t="s">
        <v>112</v>
      </c>
    </row>
    <row r="20" spans="2:13" ht="12.75" customHeight="1" x14ac:dyDescent="0.2">
      <c r="B20" s="6" t="s">
        <v>156</v>
      </c>
      <c r="C20" s="7"/>
      <c r="D20" s="67">
        <f>IF(Calc_Tringle!I6=-1,Calc_Tringle!D30,Calc_Tringle!I30)</f>
        <v>23.453600693417439</v>
      </c>
      <c r="E20" s="69" t="s">
        <v>111</v>
      </c>
    </row>
    <row r="21" spans="2:13" ht="12.75" customHeight="1" thickBot="1" x14ac:dyDescent="0.25">
      <c r="B21" s="8" t="s">
        <v>156</v>
      </c>
      <c r="C21" s="9"/>
      <c r="D21" s="70">
        <f>IF(Calc_Tringle!I6=-1,Calc_Tringle!I30,Calc_Tringle!D30)</f>
        <v>24.767225112215165</v>
      </c>
      <c r="E21" s="71" t="s">
        <v>111</v>
      </c>
      <c r="F21" s="7"/>
      <c r="H21" s="7"/>
      <c r="I21" s="7"/>
      <c r="M21" s="12"/>
    </row>
    <row r="22" spans="2:13" ht="12.75" customHeight="1" x14ac:dyDescent="0.2">
      <c r="G22" s="7"/>
      <c r="H22" s="7"/>
      <c r="I22" s="7"/>
    </row>
    <row r="23" spans="2:13" ht="12.75" customHeight="1" x14ac:dyDescent="0.2">
      <c r="G23" s="7"/>
      <c r="H23" s="7"/>
      <c r="I23" s="7"/>
    </row>
    <row r="24" spans="2:13" ht="12.75" customHeight="1" x14ac:dyDescent="0.2">
      <c r="G24" s="7"/>
      <c r="H24" s="7"/>
      <c r="I24" s="7"/>
    </row>
    <row r="25" spans="2:13" ht="12.75" customHeight="1" x14ac:dyDescent="0.2">
      <c r="G25" s="7"/>
      <c r="H25" s="7"/>
      <c r="I25" s="7"/>
      <c r="L25" s="1"/>
    </row>
    <row r="26" spans="2:13" ht="12.75" customHeight="1" x14ac:dyDescent="0.2">
      <c r="G26" s="7"/>
      <c r="H26" s="7"/>
      <c r="I26" s="7"/>
      <c r="L26" s="1"/>
    </row>
    <row r="27" spans="2:13" ht="12.75" customHeight="1" x14ac:dyDescent="0.2">
      <c r="L27" s="1"/>
    </row>
    <row r="28" spans="2:13" ht="12.75" customHeight="1" x14ac:dyDescent="0.2"/>
    <row r="29" spans="2:13" ht="12.75" customHeight="1" x14ac:dyDescent="0.2"/>
    <row r="30" spans="2:13" ht="12.75" customHeight="1" x14ac:dyDescent="0.2"/>
    <row r="31" spans="2:13" ht="12.75" customHeight="1" x14ac:dyDescent="0.2"/>
    <row r="32" spans="2:13" ht="12.75" customHeight="1" x14ac:dyDescent="0.2"/>
    <row r="33" spans="12:12" ht="12.75" customHeight="1" x14ac:dyDescent="0.2"/>
    <row r="34" spans="12:12" ht="12.75" customHeight="1" x14ac:dyDescent="0.2"/>
    <row r="35" spans="12:12" ht="12.75" customHeight="1" x14ac:dyDescent="0.2"/>
    <row r="36" spans="12:12" ht="12.75" customHeight="1" x14ac:dyDescent="0.2"/>
    <row r="37" spans="12:12" ht="12.75" customHeight="1" x14ac:dyDescent="0.2"/>
    <row r="39" spans="12:12" x14ac:dyDescent="0.2">
      <c r="L39" s="1"/>
    </row>
  </sheetData>
  <mergeCells count="3">
    <mergeCell ref="G4:G5"/>
    <mergeCell ref="G7:G8"/>
    <mergeCell ref="B2:Q2"/>
  </mergeCells>
  <phoneticPr fontId="0" type="noConversion"/>
  <pageMargins left="0.75" right="0.75" top="1" bottom="1" header="0.4921259845" footer="0.4921259845"/>
  <pageSetup paperSize="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Spinner 5">
              <controlPr defaultSize="0" autoPict="0">
                <anchor moveWithCells="1" sizeWithCells="1">
                  <from>
                    <xdr:col>7</xdr:col>
                    <xdr:colOff>57150</xdr:colOff>
                    <xdr:row>3</xdr:row>
                    <xdr:rowOff>19050</xdr:rowOff>
                  </from>
                  <to>
                    <xdr:col>8</xdr:col>
                    <xdr:colOff>0</xdr:colOff>
                    <xdr:row>5</xdr:row>
                    <xdr:rowOff>19050</xdr:rowOff>
                  </to>
                </anchor>
              </controlPr>
            </control>
          </mc:Choice>
        </mc:AlternateContent>
        <mc:AlternateContent xmlns:mc="http://schemas.openxmlformats.org/markup-compatibility/2006">
          <mc:Choice Requires="x14">
            <control shapeId="7175" r:id="rId5" name="Spinner 7">
              <controlPr defaultSize="0" autoPict="0">
                <anchor moveWithCells="1" sizeWithCells="1">
                  <from>
                    <xdr:col>7</xdr:col>
                    <xdr:colOff>47625</xdr:colOff>
                    <xdr:row>6</xdr:row>
                    <xdr:rowOff>0</xdr:rowOff>
                  </from>
                  <to>
                    <xdr:col>8</xdr:col>
                    <xdr:colOff>9525</xdr:colOff>
                    <xdr:row>7</xdr:row>
                    <xdr:rowOff>142875</xdr:rowOff>
                  </to>
                </anchor>
              </controlPr>
            </control>
          </mc:Choice>
        </mc:AlternateContent>
        <mc:AlternateContent xmlns:mc="http://schemas.openxmlformats.org/markup-compatibility/2006">
          <mc:Choice Requires="x14">
            <control shapeId="7180" r:id="rId6" name="Check Box 12">
              <controlPr defaultSize="0" autoFill="0" autoLine="0" autoPict="0" altText="Afficher segments">
                <anchor moveWithCells="1">
                  <from>
                    <xdr:col>16</xdr:col>
                    <xdr:colOff>0</xdr:colOff>
                    <xdr:row>16</xdr:row>
                    <xdr:rowOff>38100</xdr:rowOff>
                  </from>
                  <to>
                    <xdr:col>16</xdr:col>
                    <xdr:colOff>723900</xdr:colOff>
                    <xdr:row>17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R37"/>
  <sheetViews>
    <sheetView showGridLines="0" showRowColHeaders="0" zoomScaleNormal="100" workbookViewId="0">
      <selection activeCell="G10" sqref="G10"/>
    </sheetView>
  </sheetViews>
  <sheetFormatPr defaultColWidth="11.42578125" defaultRowHeight="12.75" x14ac:dyDescent="0.2"/>
  <cols>
    <col min="1" max="1" width="2.28515625" style="2" customWidth="1"/>
    <col min="2" max="2" width="30.7109375" style="2" customWidth="1"/>
    <col min="3" max="4" width="6.28515625" style="2" customWidth="1"/>
    <col min="5" max="5" width="4.7109375" style="2" customWidth="1"/>
    <col min="6" max="6" width="2.5703125" style="2" customWidth="1"/>
    <col min="7" max="7" width="11.42578125" style="2"/>
    <col min="8" max="8" width="5.5703125" style="2" customWidth="1"/>
    <col min="9" max="9" width="9.42578125" style="2" customWidth="1"/>
    <col min="10" max="16384" width="11.42578125" style="2"/>
  </cols>
  <sheetData>
    <row r="2" spans="1:18" ht="24" customHeight="1" x14ac:dyDescent="0.2">
      <c r="B2" s="89" t="s">
        <v>170</v>
      </c>
      <c r="C2" s="89"/>
      <c r="D2" s="89"/>
      <c r="E2" s="89"/>
      <c r="F2" s="89"/>
      <c r="G2" s="89"/>
      <c r="H2" s="89"/>
      <c r="I2" s="89"/>
      <c r="J2" s="89"/>
      <c r="K2" s="89"/>
      <c r="L2" s="89"/>
      <c r="M2" s="89"/>
      <c r="N2" s="89"/>
      <c r="O2" s="89"/>
      <c r="P2" s="89"/>
      <c r="Q2" s="89"/>
      <c r="R2" s="22"/>
    </row>
    <row r="3" spans="1:18" s="48" customFormat="1" ht="12.75" customHeight="1" thickBot="1" x14ac:dyDescent="0.25">
      <c r="A3" s="22"/>
      <c r="B3" s="47"/>
      <c r="C3" s="47"/>
      <c r="D3" s="47"/>
      <c r="E3" s="47"/>
      <c r="F3" s="47"/>
      <c r="G3" s="61"/>
      <c r="H3" s="61"/>
      <c r="I3" s="47"/>
      <c r="J3" s="47"/>
      <c r="K3" s="47"/>
      <c r="L3" s="47"/>
      <c r="M3" s="47"/>
      <c r="N3" s="47"/>
      <c r="O3" s="47"/>
      <c r="P3" s="47"/>
      <c r="Q3" s="47"/>
      <c r="R3" s="22"/>
    </row>
    <row r="4" spans="1:18" ht="12.75" customHeight="1" x14ac:dyDescent="0.2">
      <c r="B4" s="18" t="s">
        <v>151</v>
      </c>
      <c r="C4" s="4"/>
      <c r="D4" s="4"/>
      <c r="E4" s="5"/>
    </row>
    <row r="5" spans="1:18" ht="12.75" customHeight="1" x14ac:dyDescent="0.2">
      <c r="B5" s="79" t="s">
        <v>183</v>
      </c>
      <c r="C5" s="20" t="s">
        <v>113</v>
      </c>
      <c r="D5" s="65">
        <v>60</v>
      </c>
      <c r="E5" s="16" t="s">
        <v>111</v>
      </c>
    </row>
    <row r="6" spans="1:18" ht="12.75" customHeight="1" x14ac:dyDescent="0.2">
      <c r="B6" s="79" t="s">
        <v>184</v>
      </c>
      <c r="C6" s="20" t="s">
        <v>114</v>
      </c>
      <c r="D6" s="65">
        <v>23</v>
      </c>
      <c r="E6" s="16" t="s">
        <v>111</v>
      </c>
    </row>
    <row r="7" spans="1:18" ht="12.75" customHeight="1" x14ac:dyDescent="0.2">
      <c r="B7" s="79" t="s">
        <v>161</v>
      </c>
      <c r="C7" s="20" t="s">
        <v>105</v>
      </c>
      <c r="D7" s="65">
        <v>20</v>
      </c>
      <c r="E7" s="16" t="s">
        <v>111</v>
      </c>
    </row>
    <row r="8" spans="1:18" ht="12.75" customHeight="1" x14ac:dyDescent="0.2">
      <c r="B8" s="79" t="s">
        <v>185</v>
      </c>
      <c r="C8" s="20" t="s">
        <v>106</v>
      </c>
      <c r="D8" s="65">
        <v>6</v>
      </c>
      <c r="E8" s="16" t="s">
        <v>111</v>
      </c>
    </row>
    <row r="9" spans="1:18" ht="12.75" customHeight="1" x14ac:dyDescent="0.2">
      <c r="B9" s="79" t="s">
        <v>162</v>
      </c>
      <c r="C9" s="20" t="s">
        <v>115</v>
      </c>
      <c r="D9" s="65">
        <v>50</v>
      </c>
      <c r="E9" s="16" t="s">
        <v>111</v>
      </c>
    </row>
    <row r="10" spans="1:18" ht="12.75" customHeight="1" x14ac:dyDescent="0.2">
      <c r="B10" s="79" t="s">
        <v>163</v>
      </c>
      <c r="C10" s="20" t="s">
        <v>116</v>
      </c>
      <c r="D10" s="65">
        <v>12</v>
      </c>
      <c r="E10" s="16" t="s">
        <v>111</v>
      </c>
    </row>
    <row r="11" spans="1:18" ht="12.75" customHeight="1" x14ac:dyDescent="0.2">
      <c r="B11" s="79" t="s">
        <v>164</v>
      </c>
      <c r="C11" s="20" t="s">
        <v>107</v>
      </c>
      <c r="D11" s="65">
        <v>20</v>
      </c>
      <c r="E11" s="16" t="s">
        <v>111</v>
      </c>
    </row>
    <row r="12" spans="1:18" ht="12.75" customHeight="1" x14ac:dyDescent="0.2">
      <c r="B12" s="79" t="s">
        <v>152</v>
      </c>
      <c r="C12" s="20" t="s">
        <v>108</v>
      </c>
      <c r="D12" s="65">
        <v>4</v>
      </c>
      <c r="E12" s="16" t="s">
        <v>111</v>
      </c>
      <c r="F12" s="7"/>
      <c r="G12" s="7"/>
      <c r="H12" s="7"/>
      <c r="I12" s="7"/>
      <c r="J12" s="7"/>
      <c r="K12" s="7"/>
      <c r="L12" s="7"/>
      <c r="M12" s="7"/>
    </row>
    <row r="13" spans="1:18" ht="12.75" customHeight="1" x14ac:dyDescent="0.2">
      <c r="B13" s="79" t="s">
        <v>153</v>
      </c>
      <c r="C13" s="20" t="s">
        <v>110</v>
      </c>
      <c r="D13" s="65">
        <v>40</v>
      </c>
      <c r="E13" s="16" t="s">
        <v>111</v>
      </c>
      <c r="F13" s="7"/>
      <c r="G13" s="7"/>
      <c r="H13" s="7"/>
      <c r="I13" s="7"/>
      <c r="J13" s="7"/>
      <c r="K13" s="7"/>
      <c r="L13" s="7"/>
      <c r="M13" s="7"/>
    </row>
    <row r="14" spans="1:18" ht="12.75" customHeight="1" x14ac:dyDescent="0.2">
      <c r="B14" s="79" t="s">
        <v>186</v>
      </c>
      <c r="C14" s="20" t="s">
        <v>104</v>
      </c>
      <c r="D14" s="65">
        <v>-5</v>
      </c>
      <c r="E14" s="16" t="s">
        <v>112</v>
      </c>
    </row>
    <row r="15" spans="1:18" ht="12.75" customHeight="1" thickBot="1" x14ac:dyDescent="0.25">
      <c r="B15" s="80" t="s">
        <v>159</v>
      </c>
      <c r="C15" s="21" t="s">
        <v>109</v>
      </c>
      <c r="D15" s="66">
        <v>40</v>
      </c>
      <c r="E15" s="19" t="s">
        <v>112</v>
      </c>
    </row>
    <row r="16" spans="1:18" ht="12.75" customHeight="1" thickBot="1" x14ac:dyDescent="0.25"/>
    <row r="17" spans="2:13" ht="12.75" customHeight="1" x14ac:dyDescent="0.2">
      <c r="B17" s="18" t="s">
        <v>154</v>
      </c>
      <c r="C17" s="4"/>
      <c r="D17" s="4"/>
      <c r="E17" s="5"/>
    </row>
    <row r="18" spans="2:13" ht="12.75" customHeight="1" x14ac:dyDescent="0.2">
      <c r="B18" s="6" t="s">
        <v>156</v>
      </c>
      <c r="C18" s="7"/>
      <c r="D18" s="72">
        <f>Calc_Gaine!I39</f>
        <v>39.988561035214332</v>
      </c>
      <c r="E18" s="73" t="s">
        <v>112</v>
      </c>
    </row>
    <row r="19" spans="2:13" ht="12.75" customHeight="1" x14ac:dyDescent="0.2">
      <c r="B19" s="6" t="s">
        <v>156</v>
      </c>
      <c r="C19" s="7"/>
      <c r="D19" s="72">
        <f>Calc_Gaine!D39</f>
        <v>-32.020904017292509</v>
      </c>
      <c r="E19" s="73" t="s">
        <v>112</v>
      </c>
      <c r="F19" s="7"/>
      <c r="H19" s="7"/>
      <c r="I19" s="7"/>
    </row>
    <row r="20" spans="2:13" ht="12.75" customHeight="1" x14ac:dyDescent="0.2">
      <c r="B20" s="6" t="s">
        <v>156</v>
      </c>
      <c r="C20" s="7"/>
      <c r="D20" s="72">
        <f>Calc_Gaine!I40</f>
        <v>27.354107034735758</v>
      </c>
      <c r="E20" s="73" t="s">
        <v>111</v>
      </c>
      <c r="F20" s="7"/>
      <c r="H20" s="7"/>
      <c r="I20" s="7"/>
      <c r="M20" s="12"/>
    </row>
    <row r="21" spans="2:13" ht="12.75" customHeight="1" thickBot="1" x14ac:dyDescent="0.25">
      <c r="B21" s="8" t="s">
        <v>156</v>
      </c>
      <c r="C21" s="9"/>
      <c r="D21" s="74">
        <f>Calc_Gaine!D40</f>
        <v>22.065016518122437</v>
      </c>
      <c r="E21" s="75" t="s">
        <v>111</v>
      </c>
      <c r="F21" s="7"/>
      <c r="G21" s="7"/>
    </row>
    <row r="22" spans="2:13" ht="12.75" customHeight="1" x14ac:dyDescent="0.2">
      <c r="E22" s="7"/>
      <c r="F22" s="7"/>
      <c r="G22" s="7"/>
      <c r="H22" s="7"/>
      <c r="I22" s="7"/>
    </row>
    <row r="23" spans="2:13" ht="12.75" customHeight="1" x14ac:dyDescent="0.2">
      <c r="E23" s="7"/>
      <c r="F23" s="7"/>
      <c r="G23" s="7"/>
      <c r="H23" s="7"/>
      <c r="I23" s="7"/>
    </row>
    <row r="24" spans="2:13" ht="12.75" customHeight="1" x14ac:dyDescent="0.2">
      <c r="E24" s="7"/>
      <c r="F24" s="7"/>
      <c r="G24" s="7"/>
      <c r="H24" s="7"/>
      <c r="I24" s="7"/>
    </row>
    <row r="25" spans="2:13" ht="12.75" customHeight="1" x14ac:dyDescent="0.2"/>
    <row r="26" spans="2:13" ht="12.75" customHeight="1" x14ac:dyDescent="0.2"/>
    <row r="27" spans="2:13" ht="12.75" customHeight="1" x14ac:dyDescent="0.2"/>
    <row r="28" spans="2:13" ht="12.75" customHeight="1" x14ac:dyDescent="0.2"/>
    <row r="29" spans="2:13" ht="12.75" customHeight="1" x14ac:dyDescent="0.2"/>
    <row r="30" spans="2:13" ht="12.75" customHeight="1" x14ac:dyDescent="0.2"/>
    <row r="31" spans="2:13" ht="12.75" customHeight="1" x14ac:dyDescent="0.2"/>
    <row r="32" spans="2:13" ht="12.75" customHeight="1" x14ac:dyDescent="0.2"/>
    <row r="33" ht="12.75" customHeight="1" x14ac:dyDescent="0.2"/>
    <row r="34" ht="12.75" customHeight="1" x14ac:dyDescent="0.2"/>
    <row r="35" ht="12.75" customHeight="1" x14ac:dyDescent="0.2"/>
    <row r="36" ht="12.75" customHeight="1" x14ac:dyDescent="0.2"/>
    <row r="37" ht="12.75" customHeight="1" x14ac:dyDescent="0.2"/>
  </sheetData>
  <mergeCells count="1">
    <mergeCell ref="B2:Q2"/>
  </mergeCells>
  <phoneticPr fontId="0" type="noConversion"/>
  <pageMargins left="0.75" right="0.75" top="1" bottom="1" header="0.4921259845" footer="0.4921259845"/>
  <pageSetup paperSize="9"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ltText="Afficher segments">
                <anchor moveWithCells="1">
                  <from>
                    <xdr:col>16</xdr:col>
                    <xdr:colOff>9525</xdr:colOff>
                    <xdr:row>16</xdr:row>
                    <xdr:rowOff>38100</xdr:rowOff>
                  </from>
                  <to>
                    <xdr:col>16</xdr:col>
                    <xdr:colOff>723900</xdr:colOff>
                    <xdr:row>17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2:Q37"/>
  <sheetViews>
    <sheetView showGridLines="0" showRowColHeaders="0" zoomScaleNormal="100" workbookViewId="0">
      <selection activeCell="D19" sqref="D19"/>
    </sheetView>
  </sheetViews>
  <sheetFormatPr defaultColWidth="11.42578125" defaultRowHeight="12.75" x14ac:dyDescent="0.2"/>
  <cols>
    <col min="1" max="1" width="2.28515625" style="2" customWidth="1"/>
    <col min="2" max="2" width="24.7109375" style="2" customWidth="1"/>
    <col min="3" max="3" width="6.28515625" style="2" customWidth="1"/>
    <col min="4" max="4" width="6.28515625" style="48" customWidth="1"/>
    <col min="5" max="5" width="4.7109375" style="2" customWidth="1"/>
    <col min="6" max="6" width="2.5703125" style="2" customWidth="1"/>
    <col min="7" max="7" width="11.42578125" style="2"/>
    <col min="8" max="8" width="5.5703125" style="2" customWidth="1"/>
    <col min="9" max="9" width="9.42578125" style="2" customWidth="1"/>
    <col min="10" max="16384" width="11.42578125" style="2"/>
  </cols>
  <sheetData>
    <row r="2" spans="1:17" ht="24" customHeight="1" x14ac:dyDescent="0.2">
      <c r="B2" s="89" t="s">
        <v>171</v>
      </c>
      <c r="C2" s="89"/>
      <c r="D2" s="89"/>
      <c r="E2" s="89"/>
      <c r="F2" s="89"/>
      <c r="G2" s="89"/>
      <c r="H2" s="89"/>
      <c r="I2" s="89"/>
      <c r="J2" s="89"/>
      <c r="K2" s="89"/>
      <c r="L2" s="89"/>
      <c r="M2" s="89"/>
      <c r="N2" s="89"/>
      <c r="O2" s="89"/>
      <c r="P2" s="89"/>
      <c r="Q2" s="89"/>
    </row>
    <row r="3" spans="1:17" s="48" customFormat="1" ht="12.75" customHeight="1" thickBot="1" x14ac:dyDescent="0.25">
      <c r="A3" s="22"/>
      <c r="B3" s="22"/>
      <c r="C3" s="22"/>
      <c r="D3" s="22"/>
      <c r="E3" s="22"/>
      <c r="F3" s="22"/>
      <c r="G3" s="62"/>
      <c r="H3" s="22"/>
      <c r="I3" s="22"/>
      <c r="J3" s="22"/>
      <c r="K3" s="22"/>
      <c r="L3" s="22"/>
      <c r="M3" s="22"/>
      <c r="N3" s="22"/>
      <c r="O3" s="22"/>
      <c r="P3" s="22"/>
      <c r="Q3" s="22"/>
    </row>
    <row r="4" spans="1:17" ht="12.75" customHeight="1" x14ac:dyDescent="0.2">
      <c r="B4" s="18" t="s">
        <v>151</v>
      </c>
      <c r="C4" s="4"/>
      <c r="D4" s="63"/>
      <c r="E4" s="5"/>
    </row>
    <row r="5" spans="1:17" ht="12.75" customHeight="1" x14ac:dyDescent="0.2">
      <c r="B5" s="6" t="s">
        <v>150</v>
      </c>
      <c r="C5" s="20" t="s">
        <v>102</v>
      </c>
      <c r="D5" s="65">
        <v>500</v>
      </c>
      <c r="E5" s="16" t="s">
        <v>111</v>
      </c>
    </row>
    <row r="6" spans="1:17" ht="12.75" customHeight="1" x14ac:dyDescent="0.2">
      <c r="B6" s="79" t="s">
        <v>161</v>
      </c>
      <c r="C6" s="20" t="s">
        <v>105</v>
      </c>
      <c r="D6" s="65">
        <v>20</v>
      </c>
      <c r="E6" s="16" t="s">
        <v>111</v>
      </c>
    </row>
    <row r="7" spans="1:17" ht="12.75" customHeight="1" x14ac:dyDescent="0.2">
      <c r="B7" s="79" t="s">
        <v>160</v>
      </c>
      <c r="C7" s="20" t="s">
        <v>106</v>
      </c>
      <c r="D7" s="65">
        <v>0</v>
      </c>
      <c r="E7" s="16" t="s">
        <v>111</v>
      </c>
    </row>
    <row r="8" spans="1:17" ht="12.75" customHeight="1" x14ac:dyDescent="0.2">
      <c r="B8" s="79" t="s">
        <v>164</v>
      </c>
      <c r="C8" s="20" t="s">
        <v>107</v>
      </c>
      <c r="D8" s="65">
        <v>30</v>
      </c>
      <c r="E8" s="16" t="s">
        <v>111</v>
      </c>
    </row>
    <row r="9" spans="1:17" ht="12.75" customHeight="1" x14ac:dyDescent="0.2">
      <c r="B9" s="79" t="s">
        <v>152</v>
      </c>
      <c r="C9" s="20" t="s">
        <v>108</v>
      </c>
      <c r="D9" s="65">
        <v>0.5</v>
      </c>
      <c r="E9" s="16" t="s">
        <v>111</v>
      </c>
    </row>
    <row r="10" spans="1:17" ht="12.75" customHeight="1" x14ac:dyDescent="0.2">
      <c r="B10" s="79" t="s">
        <v>153</v>
      </c>
      <c r="C10" s="20" t="s">
        <v>110</v>
      </c>
      <c r="D10" s="65">
        <v>70</v>
      </c>
      <c r="E10" s="16" t="s">
        <v>111</v>
      </c>
    </row>
    <row r="11" spans="1:17" ht="12.75" customHeight="1" x14ac:dyDescent="0.2">
      <c r="B11" s="79" t="s">
        <v>165</v>
      </c>
      <c r="C11" s="20" t="s">
        <v>104</v>
      </c>
      <c r="D11" s="65">
        <v>0</v>
      </c>
      <c r="E11" s="16" t="s">
        <v>112</v>
      </c>
    </row>
    <row r="12" spans="1:17" ht="12.75" customHeight="1" thickBot="1" x14ac:dyDescent="0.25">
      <c r="B12" s="80" t="s">
        <v>159</v>
      </c>
      <c r="C12" s="21" t="s">
        <v>109</v>
      </c>
      <c r="D12" s="66">
        <v>40</v>
      </c>
      <c r="E12" s="19" t="s">
        <v>112</v>
      </c>
    </row>
    <row r="13" spans="1:17" ht="12.75" customHeight="1" thickBot="1" x14ac:dyDescent="0.25">
      <c r="B13" s="7"/>
      <c r="C13" s="7"/>
      <c r="D13" s="13"/>
    </row>
    <row r="14" spans="1:17" ht="12.75" customHeight="1" x14ac:dyDescent="0.2">
      <c r="B14" s="18" t="s">
        <v>154</v>
      </c>
      <c r="C14" s="4"/>
      <c r="D14" s="63"/>
      <c r="E14" s="5"/>
      <c r="F14" s="7"/>
      <c r="G14" s="7"/>
      <c r="H14" s="7"/>
      <c r="I14" s="7"/>
    </row>
    <row r="15" spans="1:17" ht="12.75" customHeight="1" x14ac:dyDescent="0.2">
      <c r="B15" s="79" t="s">
        <v>168</v>
      </c>
      <c r="C15" s="7"/>
      <c r="D15" s="72">
        <f>Calc_Cable!D17-Calc_Cable!D33</f>
        <v>1.8591880133271843E-2</v>
      </c>
      <c r="E15" s="76" t="s">
        <v>111</v>
      </c>
      <c r="F15" s="7"/>
      <c r="G15" s="7"/>
      <c r="H15" s="7"/>
      <c r="I15" s="7"/>
    </row>
    <row r="16" spans="1:17" ht="12.75" customHeight="1" x14ac:dyDescent="0.2">
      <c r="B16" s="79" t="s">
        <v>166</v>
      </c>
      <c r="C16" s="7"/>
      <c r="D16" s="72">
        <f>DEGREES(Calc_Cable!I34)</f>
        <v>25.368773698347276</v>
      </c>
      <c r="E16" s="76" t="s">
        <v>112</v>
      </c>
      <c r="F16" s="7"/>
      <c r="G16" s="7"/>
      <c r="H16" s="7"/>
      <c r="I16" s="7"/>
    </row>
    <row r="17" spans="2:13" ht="12.75" customHeight="1" thickBot="1" x14ac:dyDescent="0.25">
      <c r="B17" s="80" t="s">
        <v>167</v>
      </c>
      <c r="C17" s="9"/>
      <c r="D17" s="74">
        <f>Calc_Cable!I35</f>
        <v>30.741250702901148</v>
      </c>
      <c r="E17" s="77" t="s">
        <v>111</v>
      </c>
      <c r="F17" s="7"/>
      <c r="I17" s="7"/>
    </row>
    <row r="18" spans="2:13" ht="12.75" customHeight="1" x14ac:dyDescent="0.2"/>
    <row r="19" spans="2:13" ht="12.75" customHeight="1" x14ac:dyDescent="0.2"/>
    <row r="20" spans="2:13" ht="12.75" customHeight="1" x14ac:dyDescent="0.2"/>
    <row r="21" spans="2:13" ht="12.75" customHeight="1" x14ac:dyDescent="0.2">
      <c r="D21" s="64"/>
      <c r="M21" s="12"/>
    </row>
    <row r="22" spans="2:13" ht="12.75" customHeight="1" x14ac:dyDescent="0.2"/>
    <row r="23" spans="2:13" ht="12.75" customHeight="1" x14ac:dyDescent="0.2"/>
    <row r="24" spans="2:13" ht="12.75" customHeight="1" x14ac:dyDescent="0.2">
      <c r="D24" s="64"/>
      <c r="H24" s="2">
        <v>0</v>
      </c>
      <c r="I24" s="2">
        <f>(D5+D10)/6</f>
        <v>95</v>
      </c>
    </row>
    <row r="25" spans="2:13" ht="12.75" customHeight="1" x14ac:dyDescent="0.2">
      <c r="D25" s="64"/>
      <c r="H25" s="2">
        <v>0</v>
      </c>
      <c r="I25" s="2">
        <f>-I24</f>
        <v>-95</v>
      </c>
    </row>
    <row r="26" spans="2:13" ht="12.75" customHeight="1" x14ac:dyDescent="0.2"/>
    <row r="27" spans="2:13" ht="12.75" customHeight="1" x14ac:dyDescent="0.2"/>
    <row r="28" spans="2:13" ht="12.75" customHeight="1" x14ac:dyDescent="0.2"/>
    <row r="29" spans="2:13" ht="12.75" customHeight="1" x14ac:dyDescent="0.2"/>
    <row r="30" spans="2:13" ht="12.75" customHeight="1" x14ac:dyDescent="0.2"/>
    <row r="31" spans="2:13" ht="12.75" customHeight="1" x14ac:dyDescent="0.2"/>
    <row r="32" spans="2:13" ht="12.75" customHeight="1" x14ac:dyDescent="0.2"/>
    <row r="33" ht="12.75" customHeight="1" x14ac:dyDescent="0.2"/>
    <row r="34" ht="12.75" customHeight="1" x14ac:dyDescent="0.2"/>
    <row r="35" ht="12.75" customHeight="1" x14ac:dyDescent="0.2"/>
    <row r="36" ht="12.75" customHeight="1" x14ac:dyDescent="0.2"/>
    <row r="37" ht="12.75" customHeight="1" x14ac:dyDescent="0.2"/>
  </sheetData>
  <mergeCells count="1">
    <mergeCell ref="B2:Q2"/>
  </mergeCells>
  <phoneticPr fontId="0" type="noConversion"/>
  <pageMargins left="0.75" right="0.75" top="1" bottom="1" header="0.4921259845" footer="0.4921259845"/>
  <pageSetup paperSize="9"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ltText="Afficher segments">
                <anchor moveWithCells="1">
                  <from>
                    <xdr:col>16</xdr:col>
                    <xdr:colOff>9525</xdr:colOff>
                    <xdr:row>16</xdr:row>
                    <xdr:rowOff>38100</xdr:rowOff>
                  </from>
                  <to>
                    <xdr:col>16</xdr:col>
                    <xdr:colOff>723900</xdr:colOff>
                    <xdr:row>17</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C2:P32"/>
  <sheetViews>
    <sheetView showGridLines="0" showRowColHeaders="0" tabSelected="1" topLeftCell="B1" zoomScale="85" workbookViewId="0">
      <selection activeCell="H52" sqref="H52"/>
    </sheetView>
  </sheetViews>
  <sheetFormatPr defaultColWidth="11.5703125" defaultRowHeight="12.75" x14ac:dyDescent="0.2"/>
  <cols>
    <col min="1" max="1" width="3.5703125" customWidth="1"/>
    <col min="2" max="2" width="2.7109375" customWidth="1"/>
  </cols>
  <sheetData>
    <row r="2" spans="3:16" ht="18" x14ac:dyDescent="0.25">
      <c r="C2" s="24" t="s">
        <v>145</v>
      </c>
    </row>
    <row r="4" spans="3:16" x14ac:dyDescent="0.2">
      <c r="C4" t="s">
        <v>147</v>
      </c>
      <c r="F4" t="s">
        <v>148</v>
      </c>
    </row>
    <row r="5" spans="3:16" x14ac:dyDescent="0.2">
      <c r="C5" s="81" t="s">
        <v>181</v>
      </c>
    </row>
    <row r="6" spans="3:16" x14ac:dyDescent="0.2">
      <c r="C6" s="81" t="s">
        <v>172</v>
      </c>
    </row>
    <row r="8" spans="3:16" x14ac:dyDescent="0.2">
      <c r="C8" s="81" t="s">
        <v>173</v>
      </c>
    </row>
    <row r="9" spans="3:16" x14ac:dyDescent="0.2">
      <c r="C9" s="82" t="s">
        <v>174</v>
      </c>
    </row>
    <row r="10" spans="3:16" x14ac:dyDescent="0.2">
      <c r="C10" s="23" t="s">
        <v>175</v>
      </c>
    </row>
    <row r="11" spans="3:16" x14ac:dyDescent="0.2">
      <c r="P11" s="78"/>
    </row>
    <row r="12" spans="3:16" x14ac:dyDescent="0.2">
      <c r="C12" s="78"/>
      <c r="D12" s="78"/>
      <c r="E12" s="78"/>
      <c r="F12" s="78"/>
      <c r="G12" s="78"/>
      <c r="H12" s="78"/>
      <c r="I12" s="78"/>
      <c r="J12" s="78"/>
      <c r="K12" s="78"/>
      <c r="L12" s="78"/>
      <c r="M12" s="78"/>
      <c r="N12" s="78"/>
      <c r="O12" s="78"/>
      <c r="P12" s="78"/>
    </row>
    <row r="13" spans="3:16" x14ac:dyDescent="0.2">
      <c r="C13" s="82" t="s">
        <v>176</v>
      </c>
      <c r="D13" s="78"/>
      <c r="E13" s="78"/>
      <c r="F13" s="78"/>
      <c r="G13" s="78"/>
      <c r="H13" s="78"/>
      <c r="I13" s="78"/>
      <c r="J13" s="78"/>
      <c r="K13" s="78"/>
      <c r="L13" s="78"/>
      <c r="M13" s="78"/>
      <c r="N13" s="78"/>
      <c r="O13" s="78"/>
      <c r="P13" s="78"/>
    </row>
    <row r="14" spans="3:16" x14ac:dyDescent="0.2">
      <c r="C14" s="83" t="s">
        <v>177</v>
      </c>
      <c r="D14" s="78"/>
      <c r="E14" s="78"/>
      <c r="F14" s="78"/>
      <c r="G14" s="78"/>
      <c r="H14" s="78"/>
      <c r="I14" s="78"/>
      <c r="J14" s="78"/>
      <c r="K14" s="78"/>
      <c r="L14" s="78"/>
      <c r="M14" s="78"/>
      <c r="N14" s="78"/>
      <c r="O14" s="78"/>
      <c r="P14" s="78"/>
    </row>
    <row r="15" spans="3:16" x14ac:dyDescent="0.2">
      <c r="C15" s="78"/>
      <c r="D15" s="78"/>
      <c r="E15" s="78"/>
      <c r="F15" s="78"/>
      <c r="G15" s="78"/>
      <c r="H15" s="78"/>
      <c r="I15" s="78"/>
      <c r="J15" s="78"/>
      <c r="K15" s="78"/>
      <c r="L15" s="78"/>
      <c r="M15" s="78"/>
      <c r="N15" s="78"/>
      <c r="O15" s="78"/>
      <c r="P15" s="78"/>
    </row>
    <row r="16" spans="3:16" x14ac:dyDescent="0.2">
      <c r="C16" s="78"/>
      <c r="D16" s="78"/>
      <c r="E16" s="78"/>
      <c r="F16" s="78"/>
      <c r="G16" s="78"/>
      <c r="H16" s="78"/>
      <c r="I16" s="78"/>
      <c r="J16" s="78"/>
      <c r="K16" s="78"/>
      <c r="L16" s="78"/>
      <c r="M16" s="78"/>
      <c r="N16" s="78"/>
      <c r="O16" s="78"/>
      <c r="P16" s="78"/>
    </row>
    <row r="17" spans="3:16" x14ac:dyDescent="0.2">
      <c r="C17" s="78"/>
      <c r="D17" s="78"/>
      <c r="E17" s="78"/>
      <c r="F17" s="78"/>
      <c r="G17" s="78"/>
      <c r="H17" s="78"/>
      <c r="I17" s="78"/>
      <c r="J17" s="78"/>
      <c r="K17" s="78"/>
      <c r="L17" s="78"/>
      <c r="M17" s="78"/>
      <c r="N17" s="78"/>
      <c r="O17" s="78"/>
      <c r="P17" s="78"/>
    </row>
    <row r="18" spans="3:16" x14ac:dyDescent="0.2">
      <c r="C18" s="78"/>
      <c r="D18" s="78"/>
      <c r="E18" s="78"/>
      <c r="F18" s="78"/>
      <c r="G18" s="78"/>
      <c r="H18" s="78"/>
      <c r="I18" s="78"/>
      <c r="J18" s="78"/>
      <c r="K18" s="78"/>
      <c r="L18" s="78"/>
      <c r="M18" s="78"/>
      <c r="N18" s="78"/>
      <c r="O18" s="78"/>
      <c r="P18" s="78"/>
    </row>
    <row r="19" spans="3:16" x14ac:dyDescent="0.2">
      <c r="C19" s="78"/>
      <c r="D19" s="78"/>
      <c r="E19" s="78"/>
      <c r="F19" s="78"/>
      <c r="G19" s="78"/>
      <c r="H19" s="78"/>
      <c r="I19" s="78"/>
      <c r="J19" s="78"/>
      <c r="K19" s="78"/>
      <c r="L19" s="78"/>
      <c r="M19" s="78"/>
      <c r="N19" s="78"/>
      <c r="O19" s="78"/>
      <c r="P19" s="78"/>
    </row>
    <row r="20" spans="3:16" x14ac:dyDescent="0.2">
      <c r="C20" s="78"/>
      <c r="D20" s="78"/>
      <c r="E20" s="78"/>
      <c r="F20" s="78"/>
      <c r="G20" s="78"/>
      <c r="H20" s="78"/>
      <c r="I20" s="78"/>
      <c r="J20" s="78"/>
      <c r="K20" s="78"/>
      <c r="L20" s="78"/>
      <c r="M20" s="78"/>
      <c r="N20" s="78"/>
      <c r="O20" s="78"/>
      <c r="P20" s="78"/>
    </row>
    <row r="21" spans="3:16" x14ac:dyDescent="0.2">
      <c r="C21" s="78"/>
      <c r="D21" s="78"/>
      <c r="E21" s="78"/>
      <c r="F21" s="78"/>
      <c r="G21" s="78"/>
      <c r="H21" s="78"/>
      <c r="I21" s="78"/>
      <c r="J21" s="78"/>
      <c r="K21" s="78"/>
      <c r="L21" s="78"/>
      <c r="M21" s="78"/>
      <c r="N21" s="78"/>
      <c r="O21" s="78"/>
      <c r="P21" s="78"/>
    </row>
    <row r="22" spans="3:16" x14ac:dyDescent="0.2">
      <c r="C22" s="78"/>
      <c r="D22" s="78"/>
      <c r="E22" s="78"/>
      <c r="F22" s="78"/>
      <c r="G22" s="78"/>
      <c r="H22" s="78"/>
      <c r="I22" s="78"/>
      <c r="J22" s="78"/>
      <c r="K22" s="78"/>
      <c r="L22" s="78"/>
      <c r="M22" s="78"/>
      <c r="N22" s="78"/>
      <c r="O22" s="78"/>
      <c r="P22" s="78"/>
    </row>
    <row r="23" spans="3:16" x14ac:dyDescent="0.2">
      <c r="C23" s="78"/>
      <c r="D23" s="78"/>
      <c r="E23" s="78"/>
      <c r="F23" s="78"/>
      <c r="G23" s="78"/>
      <c r="H23" s="78"/>
      <c r="I23" s="78"/>
      <c r="J23" s="78"/>
      <c r="K23" s="78"/>
      <c r="L23" s="78"/>
      <c r="M23" s="78"/>
      <c r="N23" s="78"/>
      <c r="O23" s="78"/>
      <c r="P23" s="78"/>
    </row>
    <row r="24" spans="3:16" x14ac:dyDescent="0.2">
      <c r="C24" s="78"/>
      <c r="D24" s="78"/>
      <c r="E24" s="78"/>
      <c r="F24" s="78"/>
      <c r="G24" s="78"/>
      <c r="H24" s="78"/>
      <c r="I24" s="78"/>
      <c r="J24" s="78"/>
      <c r="K24" s="78"/>
      <c r="L24" s="78"/>
      <c r="M24" s="78"/>
      <c r="N24" s="78"/>
      <c r="O24" s="78"/>
      <c r="P24" s="78"/>
    </row>
    <row r="25" spans="3:16" x14ac:dyDescent="0.2">
      <c r="C25" s="78"/>
      <c r="D25" s="78"/>
      <c r="E25" s="78"/>
      <c r="F25" s="78"/>
      <c r="G25" s="78"/>
      <c r="H25" s="78"/>
      <c r="I25" s="78"/>
      <c r="J25" s="78"/>
      <c r="K25" s="78"/>
      <c r="L25" s="78"/>
      <c r="M25" s="78"/>
      <c r="N25" s="78"/>
      <c r="O25" s="78"/>
      <c r="P25" s="78"/>
    </row>
    <row r="26" spans="3:16" x14ac:dyDescent="0.2">
      <c r="C26" s="78"/>
      <c r="D26" s="78"/>
      <c r="E26" s="78"/>
      <c r="F26" s="78"/>
      <c r="G26" s="78"/>
      <c r="H26" s="78"/>
      <c r="I26" s="78"/>
      <c r="J26" s="78"/>
      <c r="K26" s="78"/>
      <c r="L26" s="78"/>
      <c r="M26" s="78"/>
      <c r="N26" s="78"/>
      <c r="O26" s="78"/>
      <c r="P26" s="78"/>
    </row>
    <row r="27" spans="3:16" x14ac:dyDescent="0.2">
      <c r="C27" s="83" t="s">
        <v>178</v>
      </c>
      <c r="D27" s="78"/>
      <c r="E27" s="78"/>
      <c r="F27" s="78"/>
      <c r="G27" s="78"/>
      <c r="H27" s="78"/>
      <c r="I27" s="78"/>
      <c r="J27" s="78"/>
      <c r="K27" s="78"/>
      <c r="L27" s="78"/>
      <c r="M27" s="78"/>
      <c r="N27" s="78"/>
      <c r="O27" s="78"/>
      <c r="P27" s="78"/>
    </row>
    <row r="28" spans="3:16" x14ac:dyDescent="0.2">
      <c r="C28" s="84" t="s">
        <v>179</v>
      </c>
      <c r="O28" s="78"/>
      <c r="P28" s="78"/>
    </row>
    <row r="29" spans="3:16" x14ac:dyDescent="0.2">
      <c r="O29" s="78"/>
      <c r="P29" s="78"/>
    </row>
    <row r="30" spans="3:16" x14ac:dyDescent="0.2">
      <c r="C30" s="81" t="s">
        <v>180</v>
      </c>
      <c r="O30" s="78"/>
      <c r="P30" s="78"/>
    </row>
    <row r="31" spans="3:16" x14ac:dyDescent="0.2">
      <c r="C31" s="81" t="s">
        <v>182</v>
      </c>
      <c r="O31" s="78"/>
    </row>
    <row r="32" spans="3:16" x14ac:dyDescent="0.2">
      <c r="C32" s="82"/>
    </row>
  </sheetData>
  <phoneticPr fontId="0" type="noConversion"/>
  <hyperlinks>
    <hyperlink ref="C10" r:id="rId1" xr:uid="{00000000-0004-0000-0300-000000000000}"/>
  </hyperlinks>
  <pageMargins left="0.75" right="0.75" top="1" bottom="1" header="0.4921259845" footer="0.4921259845"/>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AQ57"/>
  <sheetViews>
    <sheetView zoomScale="60" workbookViewId="0"/>
  </sheetViews>
  <sheetFormatPr defaultColWidth="11.5703125" defaultRowHeight="12.75" x14ac:dyDescent="0.2"/>
  <cols>
    <col min="1" max="1" width="5.42578125" customWidth="1"/>
    <col min="2" max="2" width="11.5703125" customWidth="1"/>
    <col min="3" max="5" width="11.5703125" bestFit="1" customWidth="1"/>
    <col min="6" max="6" width="11.5703125" customWidth="1"/>
    <col min="7" max="10" width="11.5703125" bestFit="1" customWidth="1"/>
    <col min="11" max="11" width="11.5703125" customWidth="1"/>
    <col min="12" max="12" width="7.5703125" bestFit="1" customWidth="1"/>
    <col min="13" max="13" width="7" bestFit="1" customWidth="1"/>
    <col min="14" max="14" width="6.85546875" bestFit="1" customWidth="1"/>
    <col min="15" max="15" width="7" bestFit="1" customWidth="1"/>
    <col min="16" max="16" width="7.5703125" bestFit="1" customWidth="1"/>
    <col min="17" max="17" width="7" bestFit="1" customWidth="1"/>
    <col min="18" max="18" width="7.28515625" bestFit="1" customWidth="1"/>
    <col min="19" max="20" width="7.5703125" bestFit="1" customWidth="1"/>
    <col min="21" max="21" width="7" bestFit="1" customWidth="1"/>
    <col min="22" max="22" width="6.85546875" bestFit="1" customWidth="1"/>
    <col min="23" max="23" width="7" bestFit="1" customWidth="1"/>
    <col min="24" max="24" width="7.5703125" bestFit="1" customWidth="1"/>
    <col min="25" max="25" width="7" bestFit="1" customWidth="1"/>
    <col min="26" max="28" width="7.5703125" bestFit="1" customWidth="1"/>
    <col min="29" max="29" width="7" bestFit="1" customWidth="1"/>
    <col min="30" max="30" width="7.5703125" bestFit="1" customWidth="1"/>
    <col min="31" max="31" width="7" bestFit="1" customWidth="1"/>
    <col min="32" max="32" width="7.5703125" bestFit="1" customWidth="1"/>
    <col min="33" max="34" width="7" bestFit="1" customWidth="1"/>
    <col min="35" max="36" width="7.5703125" bestFit="1" customWidth="1"/>
    <col min="37" max="37" width="7" bestFit="1" customWidth="1"/>
    <col min="38" max="38" width="7.5703125" bestFit="1" customWidth="1"/>
    <col min="39" max="39" width="7" bestFit="1" customWidth="1"/>
    <col min="40" max="40" width="6.5703125" bestFit="1" customWidth="1"/>
    <col min="41" max="41" width="6.140625" bestFit="1" customWidth="1"/>
    <col min="42" max="43" width="6.5703125" bestFit="1" customWidth="1"/>
  </cols>
  <sheetData>
    <row r="1" spans="1:43" ht="13.5" thickBo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x14ac:dyDescent="0.2">
      <c r="A2" s="2"/>
      <c r="B2" s="1" t="s">
        <v>99</v>
      </c>
      <c r="C2" s="2"/>
      <c r="D2" s="2"/>
      <c r="E2" s="2"/>
      <c r="F2" s="2"/>
      <c r="G2" s="2"/>
      <c r="H2" s="2"/>
      <c r="I2" s="2"/>
      <c r="J2" s="2"/>
      <c r="K2" s="2"/>
      <c r="L2" s="90" t="s">
        <v>117</v>
      </c>
      <c r="M2" s="91"/>
      <c r="N2" s="91"/>
      <c r="O2" s="91"/>
      <c r="P2" s="90" t="s">
        <v>117</v>
      </c>
      <c r="Q2" s="91"/>
      <c r="R2" s="91"/>
      <c r="S2" s="91"/>
      <c r="T2" s="90" t="s">
        <v>117</v>
      </c>
      <c r="U2" s="91"/>
      <c r="V2" s="91"/>
      <c r="W2" s="91"/>
      <c r="X2" s="90" t="s">
        <v>117</v>
      </c>
      <c r="Y2" s="91"/>
      <c r="Z2" s="91"/>
      <c r="AA2" s="91"/>
      <c r="AB2" s="90" t="s">
        <v>117</v>
      </c>
      <c r="AC2" s="91"/>
      <c r="AD2" s="91"/>
      <c r="AE2" s="91"/>
      <c r="AF2" s="90" t="s">
        <v>117</v>
      </c>
      <c r="AG2" s="91"/>
      <c r="AH2" s="91"/>
      <c r="AI2" s="91"/>
      <c r="AJ2" s="90" t="s">
        <v>117</v>
      </c>
      <c r="AK2" s="91"/>
      <c r="AL2" s="91"/>
      <c r="AM2" s="91"/>
      <c r="AN2" s="90" t="s">
        <v>117</v>
      </c>
      <c r="AO2" s="91"/>
      <c r="AP2" s="91"/>
      <c r="AQ2" s="91"/>
    </row>
    <row r="3" spans="1:43" x14ac:dyDescent="0.2">
      <c r="A3" s="2"/>
      <c r="B3" s="2" t="s">
        <v>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x14ac:dyDescent="0.2">
      <c r="A4" s="2"/>
      <c r="B4" s="2"/>
      <c r="C4" s="2"/>
      <c r="D4" s="2" t="s">
        <v>1</v>
      </c>
      <c r="E4" s="2" t="s">
        <v>2</v>
      </c>
      <c r="F4" s="2"/>
      <c r="G4" s="2"/>
      <c r="H4" s="2"/>
      <c r="I4" s="2"/>
      <c r="J4" s="2"/>
      <c r="K4" s="2"/>
      <c r="L4" s="25" t="s">
        <v>1</v>
      </c>
      <c r="M4" s="17" t="s">
        <v>2</v>
      </c>
      <c r="N4" s="17"/>
      <c r="O4" s="31" t="s">
        <v>119</v>
      </c>
      <c r="P4" s="25" t="s">
        <v>1</v>
      </c>
      <c r="Q4" s="17" t="s">
        <v>2</v>
      </c>
      <c r="R4" s="17"/>
      <c r="S4" s="31" t="s">
        <v>120</v>
      </c>
      <c r="T4" s="25" t="s">
        <v>1</v>
      </c>
      <c r="U4" s="17" t="s">
        <v>2</v>
      </c>
      <c r="V4" s="17"/>
      <c r="W4" s="31" t="s">
        <v>121</v>
      </c>
      <c r="X4" s="25" t="s">
        <v>1</v>
      </c>
      <c r="Y4" s="17" t="s">
        <v>2</v>
      </c>
      <c r="Z4" s="17"/>
      <c r="AA4" s="31" t="s">
        <v>122</v>
      </c>
      <c r="AB4" s="25" t="s">
        <v>1</v>
      </c>
      <c r="AC4" s="17" t="s">
        <v>2</v>
      </c>
      <c r="AD4" s="17"/>
      <c r="AE4" s="31" t="s">
        <v>123</v>
      </c>
      <c r="AF4" s="25" t="s">
        <v>1</v>
      </c>
      <c r="AG4" s="17" t="s">
        <v>2</v>
      </c>
      <c r="AH4" s="17"/>
      <c r="AI4" s="31" t="s">
        <v>124</v>
      </c>
      <c r="AJ4" s="25" t="s">
        <v>1</v>
      </c>
      <c r="AK4" s="17" t="s">
        <v>2</v>
      </c>
      <c r="AL4" s="17"/>
      <c r="AM4" s="31" t="s">
        <v>125</v>
      </c>
    </row>
    <row r="5" spans="1:43" x14ac:dyDescent="0.2">
      <c r="A5" s="2"/>
      <c r="B5" s="2" t="s">
        <v>4</v>
      </c>
      <c r="C5" s="2"/>
      <c r="D5" s="2">
        <v>0</v>
      </c>
      <c r="E5" s="2">
        <v>0</v>
      </c>
      <c r="F5" s="2"/>
      <c r="G5" s="2" t="s">
        <v>100</v>
      </c>
      <c r="H5" s="2"/>
      <c r="I5" s="14">
        <f>IF(Stuurstang!$H$5=0,-1,1)</f>
        <v>1</v>
      </c>
      <c r="J5" s="2"/>
      <c r="K5" s="2"/>
      <c r="L5" s="26">
        <v>0</v>
      </c>
      <c r="M5" s="7">
        <v>0</v>
      </c>
      <c r="N5" s="7"/>
      <c r="O5" s="27"/>
      <c r="P5" s="26">
        <v>0</v>
      </c>
      <c r="Q5" s="7">
        <v>0</v>
      </c>
      <c r="R5" s="7"/>
      <c r="S5" s="27"/>
      <c r="T5" s="26">
        <v>0</v>
      </c>
      <c r="U5" s="7">
        <v>0</v>
      </c>
      <c r="V5" s="7"/>
      <c r="W5" s="27"/>
      <c r="X5" s="26">
        <v>0</v>
      </c>
      <c r="Y5" s="7">
        <v>0</v>
      </c>
      <c r="Z5" s="7"/>
      <c r="AA5" s="27"/>
      <c r="AB5" s="26">
        <v>0</v>
      </c>
      <c r="AC5" s="7">
        <v>0</v>
      </c>
      <c r="AD5" s="7"/>
      <c r="AE5" s="27"/>
      <c r="AF5" s="26">
        <v>0</v>
      </c>
      <c r="AG5" s="7">
        <v>0</v>
      </c>
      <c r="AH5" s="7"/>
      <c r="AI5" s="27"/>
      <c r="AJ5" s="26">
        <v>0</v>
      </c>
      <c r="AK5" s="7">
        <v>0</v>
      </c>
      <c r="AL5" s="7"/>
      <c r="AM5" s="27"/>
    </row>
    <row r="6" spans="1:43" x14ac:dyDescent="0.2">
      <c r="A6" s="2"/>
      <c r="B6" s="2" t="s">
        <v>0</v>
      </c>
      <c r="C6" s="2"/>
      <c r="D6" s="2">
        <f>Stuurstang!$D8</f>
        <v>1</v>
      </c>
      <c r="E6" s="2">
        <f>$I$5*SQRT(Stuurstang!$D$7^2-Stuurstang!$D$8^2)</f>
        <v>8.9442719099991592</v>
      </c>
      <c r="F6" s="2"/>
      <c r="G6" s="2" t="s">
        <v>101</v>
      </c>
      <c r="H6" s="2"/>
      <c r="I6" s="14">
        <f>IF(Stuurstang!$H$8=0,-1,1)</f>
        <v>-1</v>
      </c>
      <c r="J6" s="2"/>
      <c r="K6" s="2"/>
      <c r="L6" s="26">
        <f>Stuurstang!$D$8</f>
        <v>1</v>
      </c>
      <c r="M6" s="7">
        <f>$I$5*SQRT(Stuurstang!$D$7^2-Stuurstang!$D$8^2)</f>
        <v>8.9442719099991592</v>
      </c>
      <c r="N6" s="7"/>
      <c r="O6" s="27"/>
      <c r="P6" s="26">
        <f>Stuurstang!$D8</f>
        <v>1</v>
      </c>
      <c r="Q6" s="7">
        <f>$I$5*SQRT(Stuurstang!$D$7^2-Stuurstang!$D$8^2)</f>
        <v>8.9442719099991592</v>
      </c>
      <c r="R6" s="7"/>
      <c r="S6" s="27"/>
      <c r="T6" s="26">
        <f>Stuurstang!$D8</f>
        <v>1</v>
      </c>
      <c r="U6" s="7">
        <f>$I$5*SQRT(Stuurstang!$D$7^2-Stuurstang!$D$8^2)</f>
        <v>8.9442719099991592</v>
      </c>
      <c r="V6" s="7"/>
      <c r="W6" s="27"/>
      <c r="X6" s="26">
        <f>Stuurstang!$D8</f>
        <v>1</v>
      </c>
      <c r="Y6" s="7">
        <f>$I$5*SQRT(Stuurstang!$D$7^2-Stuurstang!$D$8^2)</f>
        <v>8.9442719099991592</v>
      </c>
      <c r="Z6" s="7"/>
      <c r="AA6" s="27"/>
      <c r="AB6" s="26">
        <f>Stuurstang!$D8</f>
        <v>1</v>
      </c>
      <c r="AC6" s="7">
        <f>$I$5*SQRT(Stuurstang!$D$7^2-Stuurstang!$D$8^2)</f>
        <v>8.9442719099991592</v>
      </c>
      <c r="AD6" s="7"/>
      <c r="AE6" s="27"/>
      <c r="AF6" s="26">
        <f>Stuurstang!$D8</f>
        <v>1</v>
      </c>
      <c r="AG6" s="7">
        <f>$I$5*SQRT(Stuurstang!$D$7^2-Stuurstang!$D$8^2)</f>
        <v>8.9442719099991592</v>
      </c>
      <c r="AH6" s="7"/>
      <c r="AI6" s="27"/>
      <c r="AJ6" s="26">
        <f>Stuurstang!$D8</f>
        <v>1</v>
      </c>
      <c r="AK6" s="7">
        <f>$I$5*SQRT(Stuurstang!$D$7^2-Stuurstang!$D$8^2)</f>
        <v>8.9442719099991592</v>
      </c>
      <c r="AL6" s="7"/>
      <c r="AM6" s="27"/>
    </row>
    <row r="7" spans="1:43" x14ac:dyDescent="0.2">
      <c r="A7" s="2"/>
      <c r="B7" s="2" t="s">
        <v>3</v>
      </c>
      <c r="C7" s="2"/>
      <c r="D7" s="2">
        <f>Stuurstang!$D$5</f>
        <v>80</v>
      </c>
      <c r="E7" s="2">
        <f>Stuurstang!$D$6</f>
        <v>2.5</v>
      </c>
      <c r="F7" s="2"/>
      <c r="G7" s="2"/>
      <c r="H7" s="2"/>
      <c r="I7" s="2"/>
      <c r="J7" s="2"/>
      <c r="K7" s="2"/>
      <c r="L7" s="26">
        <f>Stuurstang!$D$5</f>
        <v>80</v>
      </c>
      <c r="M7" s="7">
        <f>Stuurstang!$D$6</f>
        <v>2.5</v>
      </c>
      <c r="N7" s="7"/>
      <c r="O7" s="27"/>
      <c r="P7" s="26">
        <f>Stuurstang!$D$5</f>
        <v>80</v>
      </c>
      <c r="Q7" s="7">
        <f>Stuurstang!$D$6</f>
        <v>2.5</v>
      </c>
      <c r="R7" s="7"/>
      <c r="S7" s="27"/>
      <c r="T7" s="26">
        <f>Stuurstang!$D$5</f>
        <v>80</v>
      </c>
      <c r="U7" s="7">
        <f>Stuurstang!$D$6</f>
        <v>2.5</v>
      </c>
      <c r="V7" s="7"/>
      <c r="W7" s="27"/>
      <c r="X7" s="26">
        <f>Stuurstang!$D$5</f>
        <v>80</v>
      </c>
      <c r="Y7" s="7">
        <f>Stuurstang!$D$6</f>
        <v>2.5</v>
      </c>
      <c r="Z7" s="7"/>
      <c r="AA7" s="27"/>
      <c r="AB7" s="26">
        <f>Stuurstang!$D$5</f>
        <v>80</v>
      </c>
      <c r="AC7" s="7">
        <f>Stuurstang!$D$6</f>
        <v>2.5</v>
      </c>
      <c r="AD7" s="7"/>
      <c r="AE7" s="27"/>
      <c r="AF7" s="26">
        <f>Stuurstang!$D$5</f>
        <v>80</v>
      </c>
      <c r="AG7" s="7">
        <f>Stuurstang!$D$6</f>
        <v>2.5</v>
      </c>
      <c r="AH7" s="7"/>
      <c r="AI7" s="27"/>
      <c r="AJ7" s="26">
        <f>Stuurstang!$D$5</f>
        <v>80</v>
      </c>
      <c r="AK7" s="7">
        <f>Stuurstang!$D$6</f>
        <v>2.5</v>
      </c>
      <c r="AL7" s="7"/>
      <c r="AM7" s="27"/>
    </row>
    <row r="8" spans="1:43" x14ac:dyDescent="0.2">
      <c r="A8" s="2"/>
      <c r="B8" s="2" t="s">
        <v>19</v>
      </c>
      <c r="C8" s="2"/>
      <c r="D8" s="2">
        <f>Stuurstang!$D$5+Stuurstang!$D$10</f>
        <v>77</v>
      </c>
      <c r="E8" s="2">
        <f>Stuurstang!$D$6+$I$6*SQRT(Stuurstang!$D$9^2-Stuurstang!$D$10^2)</f>
        <v>-7.0393920141694561</v>
      </c>
      <c r="F8" s="2"/>
      <c r="G8" s="2"/>
      <c r="H8" s="2"/>
      <c r="I8" s="2"/>
      <c r="J8" s="2"/>
      <c r="K8" s="2"/>
      <c r="L8" s="26">
        <f>Stuurstang!$D$5+Stuurstang!$D$10</f>
        <v>77</v>
      </c>
      <c r="M8" s="7">
        <f>Stuurstang!$D$6+$I$6*SQRT(Stuurstang!$D$9^2-Stuurstang!$D$10^2)</f>
        <v>-7.0393920141694561</v>
      </c>
      <c r="N8" s="7"/>
      <c r="O8" s="27"/>
      <c r="P8" s="26">
        <f>Stuurstang!$D$5+Stuurstang!$D$10</f>
        <v>77</v>
      </c>
      <c r="Q8" s="7">
        <f>Stuurstang!$D$6+$I$6*SQRT(Stuurstang!$D$9^2-Stuurstang!$D$10^2)</f>
        <v>-7.0393920141694561</v>
      </c>
      <c r="R8" s="7"/>
      <c r="S8" s="27"/>
      <c r="T8" s="26">
        <f>Stuurstang!$D$5+Stuurstang!$D$10</f>
        <v>77</v>
      </c>
      <c r="U8" s="7">
        <f>Stuurstang!$D$6+$I$6*SQRT(Stuurstang!$D$9^2-Stuurstang!$D$10^2)</f>
        <v>-7.0393920141694561</v>
      </c>
      <c r="V8" s="7"/>
      <c r="W8" s="27"/>
      <c r="X8" s="26">
        <f>Stuurstang!$D$5+Stuurstang!$D$10</f>
        <v>77</v>
      </c>
      <c r="Y8" s="7">
        <f>Stuurstang!$D$6+$I$6*SQRT(Stuurstang!$D$9^2-Stuurstang!$D$10^2)</f>
        <v>-7.0393920141694561</v>
      </c>
      <c r="Z8" s="7"/>
      <c r="AA8" s="27"/>
      <c r="AB8" s="26">
        <f>Stuurstang!$D$5+Stuurstang!$D$10</f>
        <v>77</v>
      </c>
      <c r="AC8" s="7">
        <f>Stuurstang!$D$6+$I$6*SQRT(Stuurstang!$D$9^2-Stuurstang!$D$10^2)</f>
        <v>-7.0393920141694561</v>
      </c>
      <c r="AD8" s="7"/>
      <c r="AE8" s="27"/>
      <c r="AF8" s="26">
        <f>Stuurstang!$D$5+Stuurstang!$D$10</f>
        <v>77</v>
      </c>
      <c r="AG8" s="7">
        <f>Stuurstang!$D$6+$I$6*SQRT(Stuurstang!$D$9^2-Stuurstang!$D$10^2)</f>
        <v>-7.0393920141694561</v>
      </c>
      <c r="AH8" s="7"/>
      <c r="AI8" s="27"/>
      <c r="AJ8" s="26">
        <f>Stuurstang!$D$5+Stuurstang!$D$10</f>
        <v>77</v>
      </c>
      <c r="AK8" s="7">
        <f>Stuurstang!$D$6+$I$6*SQRT(Stuurstang!$D$9^2-Stuurstang!$D$10^2)</f>
        <v>-7.0393920141694561</v>
      </c>
      <c r="AL8" s="7"/>
      <c r="AM8" s="27"/>
    </row>
    <row r="9" spans="1:43" x14ac:dyDescent="0.2">
      <c r="A9" s="2"/>
      <c r="B9" s="2" t="s">
        <v>33</v>
      </c>
      <c r="C9" s="2"/>
      <c r="D9" s="2">
        <f>D7+Stuurstang!$D$11*COS(RADIANS(Stuurstang!$D$12))</f>
        <v>112.8892417275068</v>
      </c>
      <c r="E9" s="2">
        <f>E7+Stuurstang!$D$11*SIN(RADIANS(Stuurstang!$D$12))</f>
        <v>-9.470705016398405</v>
      </c>
      <c r="F9" s="2"/>
      <c r="G9" s="2"/>
      <c r="H9" s="2"/>
      <c r="I9" s="2"/>
      <c r="J9" s="2"/>
      <c r="K9" s="2"/>
      <c r="L9" s="26">
        <f>L7+Stuurstang!$D$11*COS(RADIANS(Stuurstang!$D$12))</f>
        <v>112.8892417275068</v>
      </c>
      <c r="M9" s="7">
        <f>M7+Stuurstang!$D$11*SIN(RADIANS(Stuurstang!$D$12))</f>
        <v>-9.470705016398405</v>
      </c>
      <c r="N9" s="7"/>
      <c r="O9" s="27"/>
      <c r="P9" s="26">
        <f>P7+Stuurstang!$D$11*COS(RADIANS(Stuurstang!$D$12))</f>
        <v>112.8892417275068</v>
      </c>
      <c r="Q9" s="7">
        <f>Q7+Stuurstang!$D$11*SIN(RADIANS(Stuurstang!$D$12))</f>
        <v>-9.470705016398405</v>
      </c>
      <c r="R9" s="7"/>
      <c r="S9" s="27"/>
      <c r="T9" s="26">
        <f>T7+Stuurstang!$D$11*COS(RADIANS(Stuurstang!$D$12))</f>
        <v>112.8892417275068</v>
      </c>
      <c r="U9" s="7">
        <f>U7+Stuurstang!$D$11*SIN(RADIANS(Stuurstang!$D$12))</f>
        <v>-9.470705016398405</v>
      </c>
      <c r="V9" s="7"/>
      <c r="W9" s="27"/>
      <c r="X9" s="26">
        <f>X7+Stuurstang!$D$11*COS(RADIANS(Stuurstang!$D$12))</f>
        <v>112.8892417275068</v>
      </c>
      <c r="Y9" s="7">
        <f>Y7+Stuurstang!$D$11*SIN(RADIANS(Stuurstang!$D$12))</f>
        <v>-9.470705016398405</v>
      </c>
      <c r="Z9" s="7"/>
      <c r="AA9" s="27"/>
      <c r="AB9" s="26">
        <f>AB7+Stuurstang!$D$11*COS(RADIANS(Stuurstang!$D$12))</f>
        <v>112.8892417275068</v>
      </c>
      <c r="AC9" s="7">
        <f>AC7+Stuurstang!$D$11*SIN(RADIANS(Stuurstang!$D$12))</f>
        <v>-9.470705016398405</v>
      </c>
      <c r="AD9" s="7"/>
      <c r="AE9" s="27"/>
      <c r="AF9" s="26">
        <f>AF7+Stuurstang!$D$11*COS(RADIANS(Stuurstang!$D$12))</f>
        <v>112.8892417275068</v>
      </c>
      <c r="AG9" s="7">
        <f>AG7+Stuurstang!$D$11*SIN(RADIANS(Stuurstang!$D$12))</f>
        <v>-9.470705016398405</v>
      </c>
      <c r="AH9" s="7"/>
      <c r="AI9" s="27"/>
      <c r="AJ9" s="26">
        <f>AJ7+Stuurstang!$D$11*COS(RADIANS(Stuurstang!$D$12))</f>
        <v>112.8892417275068</v>
      </c>
      <c r="AK9" s="7">
        <f>AK7+Stuurstang!$D$11*SIN(RADIANS(Stuurstang!$D$12))</f>
        <v>-9.470705016398405</v>
      </c>
      <c r="AL9" s="7"/>
      <c r="AM9" s="27"/>
    </row>
    <row r="10" spans="1:43" x14ac:dyDescent="0.2">
      <c r="A10" s="2"/>
      <c r="B10" s="2" t="s">
        <v>6</v>
      </c>
      <c r="C10" s="2"/>
      <c r="D10" s="2">
        <f>ACOS(Stuurstang!$D$8/Stuurstang!$D$7)</f>
        <v>1.4594553124539327</v>
      </c>
      <c r="E10" s="2"/>
      <c r="F10" s="2"/>
      <c r="G10" s="7"/>
      <c r="H10" s="2"/>
      <c r="I10" s="2"/>
      <c r="J10" s="2"/>
      <c r="K10" s="2"/>
      <c r="L10" s="26">
        <f>ACOS(Stuurstang!$D$8/Stuurstang!$D$7)</f>
        <v>1.4594553124539327</v>
      </c>
      <c r="M10" s="7"/>
      <c r="N10" s="7"/>
      <c r="O10" s="27"/>
      <c r="P10" s="26">
        <f>ACOS(Stuurstang!$D$8/Stuurstang!$D$7)</f>
        <v>1.4594553124539327</v>
      </c>
      <c r="Q10" s="7"/>
      <c r="R10" s="7"/>
      <c r="S10" s="27"/>
      <c r="T10" s="26">
        <f>ACOS(Stuurstang!$D$8/Stuurstang!$D$7)</f>
        <v>1.4594553124539327</v>
      </c>
      <c r="U10" s="7"/>
      <c r="V10" s="7"/>
      <c r="W10" s="27"/>
      <c r="X10" s="26">
        <f>ACOS(Stuurstang!$D$8/Stuurstang!$D$7)</f>
        <v>1.4594553124539327</v>
      </c>
      <c r="Y10" s="7"/>
      <c r="Z10" s="7"/>
      <c r="AA10" s="27"/>
      <c r="AB10" s="26">
        <f>ACOS(Stuurstang!$D$8/Stuurstang!$D$7)</f>
        <v>1.4594553124539327</v>
      </c>
      <c r="AC10" s="7"/>
      <c r="AD10" s="7"/>
      <c r="AE10" s="27"/>
      <c r="AF10" s="26">
        <f>ACOS(Stuurstang!$D$8/Stuurstang!$D$7)</f>
        <v>1.4594553124539327</v>
      </c>
      <c r="AG10" s="7"/>
      <c r="AH10" s="7"/>
      <c r="AI10" s="27"/>
      <c r="AJ10" s="26">
        <f>ACOS(Stuurstang!$D$8/Stuurstang!$D$7)</f>
        <v>1.4594553124539327</v>
      </c>
      <c r="AK10" s="7"/>
      <c r="AL10" s="7"/>
      <c r="AM10" s="27"/>
    </row>
    <row r="11" spans="1:43" x14ac:dyDescent="0.2">
      <c r="A11" s="2"/>
      <c r="B11" s="2" t="s">
        <v>27</v>
      </c>
      <c r="C11" s="2"/>
      <c r="D11" s="2">
        <f>PI()/2-ASIN(Stuurstang!$D$10/Stuurstang!$D$9)-$I$6*RADIANS(Stuurstang!$D$12)</f>
        <v>1.5264231304114282</v>
      </c>
      <c r="E11" s="2"/>
      <c r="F11" s="2"/>
      <c r="G11" s="2"/>
      <c r="H11" s="2"/>
      <c r="I11" s="2"/>
      <c r="J11" s="2"/>
      <c r="K11" s="2"/>
      <c r="L11" s="26">
        <f>PI()/2-ASIN(Stuurstang!$D$10/Stuurstang!$D$9)-$I$6*RADIANS(Stuurstang!$D$12)</f>
        <v>1.5264231304114282</v>
      </c>
      <c r="M11" s="7"/>
      <c r="N11" s="7"/>
      <c r="O11" s="27"/>
      <c r="P11" s="26">
        <f>PI()/2-ASIN(Stuurstang!$D$10/Stuurstang!$D$9)-$I$6*RADIANS(Stuurstang!$D$12)</f>
        <v>1.5264231304114282</v>
      </c>
      <c r="Q11" s="7"/>
      <c r="R11" s="7"/>
      <c r="S11" s="27"/>
      <c r="T11" s="26">
        <f>PI()/2-ASIN(Stuurstang!$D$10/Stuurstang!$D$9)-$I$6*RADIANS(Stuurstang!$D$12)</f>
        <v>1.5264231304114282</v>
      </c>
      <c r="U11" s="7"/>
      <c r="V11" s="7"/>
      <c r="W11" s="27"/>
      <c r="X11" s="26">
        <f>PI()/2-ASIN(Stuurstang!$D$10/Stuurstang!$D$9)-$I$6*RADIANS(Stuurstang!$D$12)</f>
        <v>1.5264231304114282</v>
      </c>
      <c r="Y11" s="7"/>
      <c r="Z11" s="7"/>
      <c r="AA11" s="27"/>
      <c r="AB11" s="26">
        <f>PI()/2-ASIN(Stuurstang!$D$10/Stuurstang!$D$9)-$I$6*RADIANS(Stuurstang!$D$12)</f>
        <v>1.5264231304114282</v>
      </c>
      <c r="AC11" s="7"/>
      <c r="AD11" s="7"/>
      <c r="AE11" s="27"/>
      <c r="AF11" s="26">
        <f>PI()/2-ASIN(Stuurstang!$D$10/Stuurstang!$D$9)-$I$6*RADIANS(Stuurstang!$D$12)</f>
        <v>1.5264231304114282</v>
      </c>
      <c r="AG11" s="7"/>
      <c r="AH11" s="7"/>
      <c r="AI11" s="27"/>
      <c r="AJ11" s="26">
        <f>PI()/2-ASIN(Stuurstang!$D$10/Stuurstang!$D$9)-$I$6*RADIANS(Stuurstang!$D$12)</f>
        <v>1.5264231304114282</v>
      </c>
      <c r="AK11" s="7"/>
      <c r="AL11" s="7"/>
      <c r="AM11" s="27"/>
    </row>
    <row r="12" spans="1:43" x14ac:dyDescent="0.2">
      <c r="A12" s="2"/>
      <c r="B12" s="2" t="s">
        <v>26</v>
      </c>
      <c r="C12" s="2"/>
      <c r="D12" s="2">
        <f>SQRT((D6-D8)^2+(E6-E8)^2)</f>
        <v>77.662587598152882</v>
      </c>
      <c r="E12" s="2"/>
      <c r="F12" s="2"/>
      <c r="G12" s="2"/>
      <c r="H12" s="2"/>
      <c r="I12" s="2"/>
      <c r="J12" s="2"/>
      <c r="K12" s="2"/>
      <c r="L12" s="26">
        <f>SQRT((L6-L8)^2+(M6-M8)^2)</f>
        <v>77.662587598152882</v>
      </c>
      <c r="M12" s="7"/>
      <c r="N12" s="7"/>
      <c r="O12" s="27"/>
      <c r="P12" s="26">
        <f>SQRT((P6-P8)^2+(Q6-Q8)^2)</f>
        <v>77.662587598152882</v>
      </c>
      <c r="Q12" s="7"/>
      <c r="R12" s="7"/>
      <c r="S12" s="27"/>
      <c r="T12" s="26">
        <f>SQRT((T6-T8)^2+(U6-U8)^2)</f>
        <v>77.662587598152882</v>
      </c>
      <c r="U12" s="7"/>
      <c r="V12" s="7"/>
      <c r="W12" s="27"/>
      <c r="X12" s="26">
        <f>SQRT((X6-X8)^2+(Y6-Y8)^2)</f>
        <v>77.662587598152882</v>
      </c>
      <c r="Y12" s="7"/>
      <c r="Z12" s="7"/>
      <c r="AA12" s="27"/>
      <c r="AB12" s="26">
        <f>SQRT((AB6-AB8)^2+(AC6-AC8)^2)</f>
        <v>77.662587598152882</v>
      </c>
      <c r="AC12" s="7"/>
      <c r="AD12" s="7"/>
      <c r="AE12" s="27"/>
      <c r="AF12" s="26">
        <f>SQRT((AF6-AF8)^2+(AG6-AG8)^2)</f>
        <v>77.662587598152882</v>
      </c>
      <c r="AG12" s="7"/>
      <c r="AH12" s="7"/>
      <c r="AI12" s="27"/>
      <c r="AJ12" s="26">
        <f>SQRT((AJ6-AJ8)^2+(AK6-AK8)^2)</f>
        <v>77.662587598152882</v>
      </c>
      <c r="AK12" s="7"/>
      <c r="AL12" s="7"/>
      <c r="AM12" s="27"/>
    </row>
    <row r="13" spans="1:43" x14ac:dyDescent="0.2">
      <c r="A13" s="2"/>
      <c r="B13" s="2" t="s">
        <v>28</v>
      </c>
      <c r="C13" s="2"/>
      <c r="D13" s="2">
        <f>RADIANS(Stuurstang!$D$13)</f>
        <v>0.78539816339744828</v>
      </c>
      <c r="E13" s="2"/>
      <c r="F13" s="2"/>
      <c r="G13" s="2"/>
      <c r="H13" s="2"/>
      <c r="I13" s="2"/>
      <c r="J13" s="2"/>
      <c r="K13" s="2"/>
      <c r="L13" s="26">
        <f>ABS(RADIANS($G$36))</f>
        <v>0.68722339297276724</v>
      </c>
      <c r="M13" s="7"/>
      <c r="N13" s="7"/>
      <c r="O13" s="27"/>
      <c r="P13" s="26">
        <f>ABS(RADIANS($G$37))</f>
        <v>0.58904862254808621</v>
      </c>
      <c r="Q13" s="7"/>
      <c r="R13" s="7"/>
      <c r="S13" s="27"/>
      <c r="T13" s="26">
        <f>ABS(RADIANS($G$38))</f>
        <v>0.49087385212340517</v>
      </c>
      <c r="U13" s="7"/>
      <c r="V13" s="7"/>
      <c r="W13" s="27"/>
      <c r="X13" s="26">
        <f>ABS(RADIANS($G$39))</f>
        <v>0.39269908169872414</v>
      </c>
      <c r="Y13" s="7"/>
      <c r="Z13" s="7"/>
      <c r="AA13" s="27"/>
      <c r="AB13" s="26">
        <f>ABS(RADIANS($G$40))</f>
        <v>0.2945243112740431</v>
      </c>
      <c r="AC13" s="7"/>
      <c r="AD13" s="7"/>
      <c r="AE13" s="27"/>
      <c r="AF13" s="26">
        <f>ABS(RADIANS($G$41))</f>
        <v>0.19634954084936207</v>
      </c>
      <c r="AG13" s="7"/>
      <c r="AH13" s="7"/>
      <c r="AI13" s="27"/>
      <c r="AJ13" s="26">
        <f>ABS(RADIANS($G$42))</f>
        <v>9.8174770424681035E-2</v>
      </c>
      <c r="AK13" s="7"/>
      <c r="AL13" s="7"/>
      <c r="AM13" s="27"/>
    </row>
    <row r="14" spans="1:43" x14ac:dyDescent="0.2">
      <c r="A14" s="2"/>
      <c r="B14" s="2"/>
      <c r="C14" s="2"/>
      <c r="D14" s="2"/>
      <c r="E14" s="2"/>
      <c r="F14" s="2"/>
      <c r="G14" s="2"/>
      <c r="H14" s="2"/>
      <c r="I14" s="2"/>
      <c r="J14" s="2"/>
      <c r="K14" s="2"/>
      <c r="L14" s="26"/>
      <c r="M14" s="7"/>
      <c r="N14" s="7"/>
      <c r="O14" s="27"/>
      <c r="P14" s="26"/>
      <c r="Q14" s="7"/>
      <c r="R14" s="7"/>
      <c r="S14" s="27"/>
      <c r="T14" s="26"/>
      <c r="U14" s="7"/>
      <c r="V14" s="7"/>
      <c r="W14" s="27"/>
      <c r="X14" s="26"/>
      <c r="Y14" s="7"/>
      <c r="Z14" s="7"/>
      <c r="AA14" s="27"/>
      <c r="AB14" s="26"/>
      <c r="AC14" s="7"/>
      <c r="AD14" s="7"/>
      <c r="AE14" s="27"/>
      <c r="AF14" s="26"/>
      <c r="AG14" s="7"/>
      <c r="AH14" s="7"/>
      <c r="AI14" s="27"/>
      <c r="AJ14" s="26"/>
      <c r="AK14" s="7"/>
      <c r="AL14" s="7"/>
      <c r="AM14" s="27"/>
    </row>
    <row r="15" spans="1:43" x14ac:dyDescent="0.2">
      <c r="A15" s="2"/>
      <c r="B15" s="1" t="s">
        <v>23</v>
      </c>
      <c r="C15" s="2"/>
      <c r="D15" s="2"/>
      <c r="E15" s="2"/>
      <c r="F15" s="2"/>
      <c r="G15" s="1" t="s">
        <v>24</v>
      </c>
      <c r="H15" s="2"/>
      <c r="I15" s="2"/>
      <c r="J15" s="2"/>
      <c r="K15" s="2"/>
      <c r="L15" s="26"/>
      <c r="M15" s="7"/>
      <c r="N15" s="7"/>
      <c r="O15" s="27"/>
      <c r="P15" s="26"/>
      <c r="Q15" s="7"/>
      <c r="R15" s="7"/>
      <c r="S15" s="27"/>
      <c r="T15" s="26"/>
      <c r="U15" s="7"/>
      <c r="V15" s="7"/>
      <c r="W15" s="27"/>
      <c r="X15" s="26"/>
      <c r="Y15" s="7"/>
      <c r="Z15" s="7"/>
      <c r="AA15" s="27"/>
      <c r="AB15" s="26"/>
      <c r="AC15" s="7"/>
      <c r="AD15" s="7"/>
      <c r="AE15" s="27"/>
      <c r="AF15" s="26"/>
      <c r="AG15" s="7"/>
      <c r="AH15" s="7"/>
      <c r="AI15" s="27"/>
      <c r="AJ15" s="26"/>
      <c r="AK15" s="7"/>
      <c r="AL15" s="7"/>
      <c r="AM15" s="27"/>
    </row>
    <row r="16" spans="1:43" x14ac:dyDescent="0.2">
      <c r="A16" s="2"/>
      <c r="B16" s="2" t="s">
        <v>38</v>
      </c>
      <c r="C16" s="2"/>
      <c r="D16" s="2">
        <f>D10-D13</f>
        <v>0.67405714905648439</v>
      </c>
      <c r="E16" s="2"/>
      <c r="F16" s="2"/>
      <c r="G16" s="2" t="s">
        <v>39</v>
      </c>
      <c r="H16" s="2"/>
      <c r="I16" s="2">
        <f>D10+D13</f>
        <v>2.244853475851381</v>
      </c>
      <c r="J16" s="2"/>
      <c r="K16" s="2"/>
      <c r="L16" s="26">
        <f>L10-L13</f>
        <v>0.77223191948116543</v>
      </c>
      <c r="M16" s="7"/>
      <c r="N16" s="7">
        <f>L10+L13</f>
        <v>2.1466787054266998</v>
      </c>
      <c r="O16" s="27"/>
      <c r="P16" s="26">
        <f>P10-P13</f>
        <v>0.87040668990584646</v>
      </c>
      <c r="Q16" s="7"/>
      <c r="R16" s="7">
        <f>P10+P13</f>
        <v>2.0485039350020191</v>
      </c>
      <c r="S16" s="27"/>
      <c r="T16" s="26">
        <f>T10-T13</f>
        <v>0.9685814603305275</v>
      </c>
      <c r="U16" s="7"/>
      <c r="V16" s="7">
        <f>T10+T13</f>
        <v>1.950329164577338</v>
      </c>
      <c r="W16" s="27"/>
      <c r="X16" s="26">
        <f>X10-X13</f>
        <v>1.0667562307552085</v>
      </c>
      <c r="Y16" s="7"/>
      <c r="Z16" s="7">
        <f>X10+X13</f>
        <v>1.8521543941526568</v>
      </c>
      <c r="AA16" s="27"/>
      <c r="AB16" s="26">
        <f>AB10-AB13</f>
        <v>1.1649310011798897</v>
      </c>
      <c r="AC16" s="7"/>
      <c r="AD16" s="7">
        <f>AB10+AB13</f>
        <v>1.7539796237279757</v>
      </c>
      <c r="AE16" s="27"/>
      <c r="AF16" s="26">
        <f>AF10-AF13</f>
        <v>1.2631057716045706</v>
      </c>
      <c r="AG16" s="7"/>
      <c r="AH16" s="7">
        <f>AF10+AF13</f>
        <v>1.6558048533032947</v>
      </c>
      <c r="AI16" s="27"/>
      <c r="AJ16" s="26">
        <f>AJ10-AJ13</f>
        <v>1.3612805420292515</v>
      </c>
      <c r="AK16" s="7"/>
      <c r="AL16" s="7">
        <f>AJ10+AJ13</f>
        <v>1.5576300828786138</v>
      </c>
      <c r="AM16" s="27"/>
    </row>
    <row r="17" spans="1:43" x14ac:dyDescent="0.2">
      <c r="A17" s="2"/>
      <c r="B17" s="2"/>
      <c r="C17" s="2"/>
      <c r="D17" s="2" t="s">
        <v>1</v>
      </c>
      <c r="E17" s="2" t="s">
        <v>2</v>
      </c>
      <c r="F17" s="2"/>
      <c r="G17" s="2"/>
      <c r="H17" s="2"/>
      <c r="I17" s="2" t="s">
        <v>1</v>
      </c>
      <c r="J17" s="2" t="s">
        <v>2</v>
      </c>
      <c r="K17" s="2"/>
      <c r="L17" s="26" t="s">
        <v>1</v>
      </c>
      <c r="M17" s="7" t="s">
        <v>2</v>
      </c>
      <c r="N17" s="7" t="s">
        <v>1</v>
      </c>
      <c r="O17" s="27" t="s">
        <v>2</v>
      </c>
      <c r="P17" s="26" t="s">
        <v>1</v>
      </c>
      <c r="Q17" s="7" t="s">
        <v>2</v>
      </c>
      <c r="R17" s="7" t="s">
        <v>1</v>
      </c>
      <c r="S17" s="27" t="s">
        <v>2</v>
      </c>
      <c r="T17" s="26" t="s">
        <v>1</v>
      </c>
      <c r="U17" s="7" t="s">
        <v>2</v>
      </c>
      <c r="V17" s="7" t="s">
        <v>1</v>
      </c>
      <c r="W17" s="27" t="s">
        <v>2</v>
      </c>
      <c r="X17" s="26" t="s">
        <v>1</v>
      </c>
      <c r="Y17" s="7" t="s">
        <v>2</v>
      </c>
      <c r="Z17" s="7" t="s">
        <v>1</v>
      </c>
      <c r="AA17" s="27" t="s">
        <v>2</v>
      </c>
      <c r="AB17" s="26" t="s">
        <v>1</v>
      </c>
      <c r="AC17" s="7" t="s">
        <v>2</v>
      </c>
      <c r="AD17" s="7" t="s">
        <v>1</v>
      </c>
      <c r="AE17" s="27" t="s">
        <v>2</v>
      </c>
      <c r="AF17" s="26" t="s">
        <v>1</v>
      </c>
      <c r="AG17" s="7" t="s">
        <v>2</v>
      </c>
      <c r="AH17" s="7" t="s">
        <v>1</v>
      </c>
      <c r="AI17" s="27" t="s">
        <v>2</v>
      </c>
      <c r="AJ17" s="26" t="s">
        <v>1</v>
      </c>
      <c r="AK17" s="7" t="s">
        <v>2</v>
      </c>
      <c r="AL17" s="7" t="s">
        <v>1</v>
      </c>
      <c r="AM17" s="27" t="s">
        <v>2</v>
      </c>
    </row>
    <row r="18" spans="1:43" x14ac:dyDescent="0.2">
      <c r="A18" s="2"/>
      <c r="B18" s="2" t="s">
        <v>4</v>
      </c>
      <c r="C18" s="2"/>
      <c r="D18" s="2">
        <f>D5</f>
        <v>0</v>
      </c>
      <c r="E18" s="2">
        <f>E5</f>
        <v>0</v>
      </c>
      <c r="F18" s="2"/>
      <c r="G18" s="2" t="s">
        <v>4</v>
      </c>
      <c r="H18" s="2"/>
      <c r="I18" s="2">
        <f>D5</f>
        <v>0</v>
      </c>
      <c r="J18" s="2">
        <f>E5</f>
        <v>0</v>
      </c>
      <c r="K18" s="2"/>
      <c r="L18" s="26">
        <f>L5</f>
        <v>0</v>
      </c>
      <c r="M18" s="7">
        <f>M5</f>
        <v>0</v>
      </c>
      <c r="N18" s="7">
        <f>L5</f>
        <v>0</v>
      </c>
      <c r="O18" s="27">
        <f>M5</f>
        <v>0</v>
      </c>
      <c r="P18" s="26">
        <f>P5</f>
        <v>0</v>
      </c>
      <c r="Q18" s="7">
        <f>Q5</f>
        <v>0</v>
      </c>
      <c r="R18" s="7">
        <f>P5</f>
        <v>0</v>
      </c>
      <c r="S18" s="27">
        <f>Q5</f>
        <v>0</v>
      </c>
      <c r="T18" s="26">
        <f>T5</f>
        <v>0</v>
      </c>
      <c r="U18" s="7">
        <f>U5</f>
        <v>0</v>
      </c>
      <c r="V18" s="7">
        <f>T5</f>
        <v>0</v>
      </c>
      <c r="W18" s="27">
        <f>U5</f>
        <v>0</v>
      </c>
      <c r="X18" s="26">
        <f>X5</f>
        <v>0</v>
      </c>
      <c r="Y18" s="7">
        <f>Y5</f>
        <v>0</v>
      </c>
      <c r="Z18" s="7">
        <f>X5</f>
        <v>0</v>
      </c>
      <c r="AA18" s="27">
        <f>Y5</f>
        <v>0</v>
      </c>
      <c r="AB18" s="26">
        <f>AB5</f>
        <v>0</v>
      </c>
      <c r="AC18" s="7">
        <f>AC5</f>
        <v>0</v>
      </c>
      <c r="AD18" s="7">
        <f>AB5</f>
        <v>0</v>
      </c>
      <c r="AE18" s="27">
        <f>AC5</f>
        <v>0</v>
      </c>
      <c r="AF18" s="26">
        <f>AF5</f>
        <v>0</v>
      </c>
      <c r="AG18" s="7">
        <f>AG5</f>
        <v>0</v>
      </c>
      <c r="AH18" s="7">
        <f>AF5</f>
        <v>0</v>
      </c>
      <c r="AI18" s="27">
        <f>AG5</f>
        <v>0</v>
      </c>
      <c r="AJ18" s="26">
        <f>AJ5</f>
        <v>0</v>
      </c>
      <c r="AK18" s="7">
        <f>AK5</f>
        <v>0</v>
      </c>
      <c r="AL18" s="7">
        <f>AJ5</f>
        <v>0</v>
      </c>
      <c r="AM18" s="27">
        <f>AK5</f>
        <v>0</v>
      </c>
    </row>
    <row r="19" spans="1:43" x14ac:dyDescent="0.2">
      <c r="A19" s="2"/>
      <c r="B19" s="2" t="s">
        <v>12</v>
      </c>
      <c r="C19" s="2"/>
      <c r="D19" s="2">
        <f>Stuurstang!$D$7*COS(D16)</f>
        <v>7.0316621015233061</v>
      </c>
      <c r="E19" s="2">
        <f>$I$5*Stuurstang!$D$7*SIN(D16)</f>
        <v>5.6174485391502111</v>
      </c>
      <c r="F19" s="2"/>
      <c r="G19" s="2" t="s">
        <v>13</v>
      </c>
      <c r="H19" s="2"/>
      <c r="I19" s="2">
        <f>Stuurstang!$D$7*COS(I16)</f>
        <v>-5.6174485391502103</v>
      </c>
      <c r="J19" s="2">
        <f>$I$5*Stuurstang!$D$7*SIN(I16)</f>
        <v>7.031662101523307</v>
      </c>
      <c r="K19" s="2"/>
      <c r="L19" s="26">
        <f>Stuurstang!$D$7*COS(L16)</f>
        <v>6.4471964847997461</v>
      </c>
      <c r="M19" s="7">
        <f>$I$5*Stuurstang!$D$7*SIN(L16)</f>
        <v>6.2796223999843974</v>
      </c>
      <c r="N19" s="7">
        <f>Stuurstang!$D$7*COS(N16)</f>
        <v>-4.9011755780742696</v>
      </c>
      <c r="O19" s="27">
        <f>$I$5*Stuurstang!$D$7*SIN(N16)</f>
        <v>7.5484089683116888</v>
      </c>
      <c r="P19" s="26">
        <f>Stuurstang!$D$7*COS(P16)</f>
        <v>5.800640841531461</v>
      </c>
      <c r="Q19" s="7">
        <f>$I$5*Stuurstang!$D$7*SIN(P16)</f>
        <v>6.8813200643159433</v>
      </c>
      <c r="R19" s="7">
        <f>Stuurstang!$D$7*COS(R16)</f>
        <v>-4.1377016169263712</v>
      </c>
      <c r="S19" s="27">
        <f>$I$5*Stuurstang!$D$7*SIN(R16)</f>
        <v>7.9924605303551477</v>
      </c>
      <c r="T19" s="26">
        <f>Stuurstang!$D$7*COS(T16)</f>
        <v>5.0982218560063917</v>
      </c>
      <c r="U19" s="7">
        <f>$I$5*Stuurstang!$D$7*SIN(T16)</f>
        <v>7.4167468547159361</v>
      </c>
      <c r="V19" s="7">
        <f>Stuurstang!$D$7*COS(V16)</f>
        <v>-3.3343793273096822</v>
      </c>
      <c r="W19" s="27">
        <f>$I$5*Stuurstang!$D$7*SIN(V16)</f>
        <v>8.359540328367931</v>
      </c>
      <c r="X19" s="26">
        <f>Stuurstang!$D$7*COS(X16)</f>
        <v>4.3467042070364226</v>
      </c>
      <c r="Y19" s="7">
        <f>$I$5*Stuurstang!$D$7*SIN(X16)</f>
        <v>7.8807463184987672</v>
      </c>
      <c r="Z19" s="7">
        <f>Stuurstang!$D$7*COS(Z16)</f>
        <v>-2.4989451420138478</v>
      </c>
      <c r="AA19" s="27">
        <f>$I$5*Stuurstang!$D$7*SIN(Z16)</f>
        <v>8.6461131832289464</v>
      </c>
      <c r="AB19" s="26">
        <f>Stuurstang!$D$7*COS(AB16)</f>
        <v>3.553325420402468</v>
      </c>
      <c r="AC19" s="7">
        <f>$I$5*Stuurstang!$D$7*SIN(AB16)</f>
        <v>8.2688498871802985</v>
      </c>
      <c r="AD19" s="7">
        <f>Stuurstang!$D$7*COS(AD16)</f>
        <v>-1.639444748938049</v>
      </c>
      <c r="AE19" s="27">
        <f>$I$5*Stuurstang!$D$7*SIN(AD16)</f>
        <v>8.8494192416892226</v>
      </c>
      <c r="AF19" s="26">
        <f>Stuurstang!$D$7*COS(AF16)</f>
        <v>2.7257261675247775</v>
      </c>
      <c r="AG19" s="7">
        <f>$I$5*Stuurstang!$D$7*SIN(AF16)</f>
        <v>8.5773199112351346</v>
      </c>
      <c r="AH19" s="7">
        <f>Stuurstang!$D$7*COS(AH16)</f>
        <v>-0.76415560671831551</v>
      </c>
      <c r="AI19" s="27">
        <f>$I$5*Stuurstang!$D$7*SIN(AH16)</f>
        <v>8.9675005552673905</v>
      </c>
      <c r="AJ19" s="26">
        <f>Stuurstang!$D$7*COS(AJ16)</f>
        <v>1.8718766816203329</v>
      </c>
      <c r="AK19" s="7">
        <f>$I$5*Stuurstang!$D$7*SIN(AJ16)</f>
        <v>8.8031856557047607</v>
      </c>
      <c r="AL19" s="7">
        <f>Stuurstang!$D$7*COS(AL16)</f>
        <v>0.11849277172406181</v>
      </c>
      <c r="AM19" s="27">
        <f>$I$5*Stuurstang!$D$7*SIN(AL16)</f>
        <v>8.9992199363638807</v>
      </c>
    </row>
    <row r="20" spans="1:43" x14ac:dyDescent="0.2">
      <c r="A20" s="2"/>
      <c r="B20" s="2" t="s">
        <v>7</v>
      </c>
      <c r="C20" s="2"/>
      <c r="D20" s="2"/>
      <c r="E20" s="2">
        <f>Stuurstang!$D$6/(SIN(D16))</f>
        <v>4.0053771464373265</v>
      </c>
      <c r="F20" s="2"/>
      <c r="G20" s="2" t="s">
        <v>8</v>
      </c>
      <c r="H20" s="2"/>
      <c r="I20" s="2"/>
      <c r="J20" s="2">
        <f>Stuurstang!$D$6/(SIN(I16))</f>
        <v>3.1998124590096135</v>
      </c>
      <c r="K20" s="2"/>
      <c r="L20" s="26"/>
      <c r="M20" s="7">
        <f>Stuurstang!$D$6/(SIN(L16))</f>
        <v>3.5830179852941324</v>
      </c>
      <c r="N20" s="7"/>
      <c r="O20" s="27">
        <f>Stuurstang!$D$6/(SIN(N16))</f>
        <v>2.9807605939814956</v>
      </c>
      <c r="P20" s="26"/>
      <c r="Q20" s="7">
        <f>Stuurstang!$D$6/(SIN(P16))</f>
        <v>3.2697214763598814</v>
      </c>
      <c r="R20" s="7"/>
      <c r="S20" s="27">
        <f>Stuurstang!$D$6/(SIN(R16))</f>
        <v>2.8151530951633243</v>
      </c>
      <c r="T20" s="26"/>
      <c r="U20" s="7">
        <f>Stuurstang!$D$6/(SIN(T16))</f>
        <v>3.0336750654626132</v>
      </c>
      <c r="V20" s="7"/>
      <c r="W20" s="27">
        <f>Stuurstang!$D$6/(SIN(V16))</f>
        <v>2.691535552935453</v>
      </c>
      <c r="X20" s="26"/>
      <c r="Y20" s="7">
        <f>Stuurstang!$D$6/(SIN(X16))</f>
        <v>2.8550595452089249</v>
      </c>
      <c r="Z20" s="7"/>
      <c r="AA20" s="27">
        <f>Stuurstang!$D$6/(SIN(Z16))</f>
        <v>2.6023254060152414</v>
      </c>
      <c r="AB20" s="26"/>
      <c r="AC20" s="7">
        <f>Stuurstang!$D$6/(SIN(AB16))</f>
        <v>2.7210555647990566</v>
      </c>
      <c r="AD20" s="7"/>
      <c r="AE20" s="27">
        <f>Stuurstang!$D$6/(SIN(AD16))</f>
        <v>2.5425397289353739</v>
      </c>
      <c r="AF20" s="26"/>
      <c r="AG20" s="7">
        <f>Stuurstang!$D$6/(SIN(AF16))</f>
        <v>2.623197016416285</v>
      </c>
      <c r="AH20" s="7"/>
      <c r="AI20" s="27">
        <f>Stuurstang!$D$6/(SIN(AH16))</f>
        <v>2.5090603408754513</v>
      </c>
      <c r="AJ20" s="26"/>
      <c r="AK20" s="7">
        <f>Stuurstang!$D$6/(SIN(AJ16))</f>
        <v>2.5558929323976307</v>
      </c>
      <c r="AL20" s="7"/>
      <c r="AM20" s="27">
        <f>Stuurstang!$D$6/(SIN(AL16))</f>
        <v>2.5002167031258362</v>
      </c>
    </row>
    <row r="21" spans="1:43" x14ac:dyDescent="0.2">
      <c r="A21" s="2"/>
      <c r="B21" s="2" t="s">
        <v>14</v>
      </c>
      <c r="C21" s="2"/>
      <c r="D21" s="2"/>
      <c r="E21" s="2">
        <f>SQRT((D7-D19)^2+(E7-E19)^2)</f>
        <v>73.034901390092386</v>
      </c>
      <c r="F21" s="2"/>
      <c r="G21" s="2" t="s">
        <v>15</v>
      </c>
      <c r="H21" s="2"/>
      <c r="I21" s="2"/>
      <c r="J21" s="2">
        <f>SQRT((D7-I19)^2+(E7-J19)^2)</f>
        <v>85.737293261196541</v>
      </c>
      <c r="K21" s="2"/>
      <c r="L21" s="26"/>
      <c r="M21" s="7">
        <f>SQRT((L7-L19)^2+(M7-M19)^2)</f>
        <v>73.649850308280463</v>
      </c>
      <c r="N21" s="7"/>
      <c r="O21" s="27">
        <f>SQRT((L7-N19)^2+(M7-O19)^2)</f>
        <v>85.051137838657539</v>
      </c>
      <c r="P21" s="26"/>
      <c r="Q21" s="7">
        <f>SQRT((P7-P19)^2+(Q7-Q19)^2)</f>
        <v>74.328600585732715</v>
      </c>
      <c r="R21" s="7"/>
      <c r="S21" s="27">
        <f>SQRT((P7-R19)^2+(Q7-S19)^2)</f>
        <v>84.316783359284059</v>
      </c>
      <c r="T21" s="26"/>
      <c r="U21" s="7">
        <f>SQRT((T7-T19)^2+(U7-U19)^2)</f>
        <v>75.062978683005895</v>
      </c>
      <c r="V21" s="7"/>
      <c r="W21" s="27">
        <f>SQRT((T7-V19)^2+(U7-W19)^2)</f>
        <v>83.540128026761536</v>
      </c>
      <c r="X21" s="26"/>
      <c r="Y21" s="7">
        <f>SQRT((X7-X19)^2+(Y7-Y19)^2)</f>
        <v>75.844403849471178</v>
      </c>
      <c r="Z21" s="7"/>
      <c r="AA21" s="27">
        <f>SQRT((X7-Z19)^2+(Y7-AA19)^2)</f>
        <v>82.727568904241778</v>
      </c>
      <c r="AB21" s="26"/>
      <c r="AC21" s="7">
        <f>SQRT((AB7-AB19)^2+(AC7-AC19)^2)</f>
        <v>76.664031222599448</v>
      </c>
      <c r="AD21" s="7"/>
      <c r="AE21" s="27">
        <f>SQRT((AB7-AD19)^2+(AC7-AE19)^2)</f>
        <v>81.885982094749536</v>
      </c>
      <c r="AF21" s="26"/>
      <c r="AG21" s="7">
        <f>SQRT((AF7-AF19)^2+(AG7-AG19)^2)</f>
        <v>77.51288417830844</v>
      </c>
      <c r="AH21" s="7"/>
      <c r="AI21" s="27">
        <f>SQRT((AF7-AH19)^2+(AG7-AI19)^2)</f>
        <v>81.022696784904625</v>
      </c>
      <c r="AJ21" s="26"/>
      <c r="AK21" s="7">
        <f>SQRT((AJ7-AJ19)^2+(AK7-AK19)^2)</f>
        <v>78.381973709917659</v>
      </c>
      <c r="AL21" s="7"/>
      <c r="AM21" s="27">
        <f>SQRT((AJ7-AL19)^2+(AK7-AM19)^2)</f>
        <v>80.145461860559081</v>
      </c>
    </row>
    <row r="22" spans="1:43" x14ac:dyDescent="0.2">
      <c r="A22" s="2"/>
      <c r="B22" s="2" t="s">
        <v>9</v>
      </c>
      <c r="C22" s="2"/>
      <c r="D22" s="2"/>
      <c r="E22" s="2">
        <f>ASIN((-$I$5*E20+Stuurstang!$D$7)*SIN(D16)/E21)</f>
        <v>4.2697339199441513E-2</v>
      </c>
      <c r="F22" s="2"/>
      <c r="G22" s="2" t="s">
        <v>10</v>
      </c>
      <c r="H22" s="2"/>
      <c r="I22" s="2"/>
      <c r="J22" s="2">
        <f>ASIN((-$I$5*J20+Stuurstang!$D$7)*SIN(I16)/J21)</f>
        <v>5.2879844729830511E-2</v>
      </c>
      <c r="K22" s="2"/>
      <c r="L22" s="26"/>
      <c r="M22" s="7">
        <f>ASIN((-$I$5*M20+Stuurstang!$D$7)*SIN(L16)/M21)</f>
        <v>5.1341358715207279E-2</v>
      </c>
      <c r="N22" s="7"/>
      <c r="O22" s="27">
        <f>ASIN((-$I$5*O20+Stuurstang!$D$7)*SIN(N16)/O21)</f>
        <v>5.939224695883806E-2</v>
      </c>
      <c r="P22" s="26"/>
      <c r="Q22" s="7">
        <f>ASIN((-$I$5*Q20+Stuurstang!$D$7)*SIN(P16)/Q21)</f>
        <v>5.8979466691298534E-2</v>
      </c>
      <c r="R22" s="7"/>
      <c r="S22" s="27">
        <f>ASIN((-$I$5*S20+Stuurstang!$D$7)*SIN(R16)/S21)</f>
        <v>6.5186931067557033E-2</v>
      </c>
      <c r="T22" s="26"/>
      <c r="U22" s="7">
        <f>ASIN((-$I$5*U20+Stuurstang!$D$7)*SIN(T16)/U21)</f>
        <v>6.5548551356494067E-2</v>
      </c>
      <c r="V22" s="7"/>
      <c r="W22" s="27">
        <f>ASIN((-$I$5*W20+Stuurstang!$D$7)*SIN(V16)/W21)</f>
        <v>7.0198067022744837E-2</v>
      </c>
      <c r="X22" s="26"/>
      <c r="Y22" s="7">
        <f>ASIN((-$I$5*Y20+Stuurstang!$D$7)*SIN(X16)/Y21)</f>
        <v>7.100418703073301E-2</v>
      </c>
      <c r="Z22" s="7"/>
      <c r="AA22" s="27">
        <f>ASIN((-$I$5*AA20+Stuurstang!$D$7)*SIN(Z16)/AA21)</f>
        <v>7.4361924048847367E-2</v>
      </c>
      <c r="AB22" s="26"/>
      <c r="AC22" s="7">
        <f>ASIN((-$I$5*AC20+Stuurstang!$D$7)*SIN(AB16)/AC21)</f>
        <v>7.5319649941005415E-2</v>
      </c>
      <c r="AD22" s="7"/>
      <c r="AE22" s="27">
        <f>ASIN((-$I$5*AE20+Stuurstang!$D$7)*SIN(AD16)/AE21)</f>
        <v>7.7617669247940071E-2</v>
      </c>
      <c r="AF22" s="26"/>
      <c r="AG22" s="7">
        <f>ASIN((-$I$5*AG20+Stuurstang!$D$7)*SIN(AF16)/AG21)</f>
        <v>7.8484547002038052E-2</v>
      </c>
      <c r="AH22" s="7"/>
      <c r="AI22" s="27">
        <f>ASIN((-$I$5*AI20+Stuurstang!$D$7)*SIN(AH16)/AI21)</f>
        <v>7.9908331982382882E-2</v>
      </c>
      <c r="AJ22" s="26"/>
      <c r="AK22" s="7">
        <f>ASIN((-$I$5*AK20+Stuurstang!$D$7)*SIN(AJ16)/AK21)</f>
        <v>8.0503191629047247E-2</v>
      </c>
      <c r="AL22" s="7"/>
      <c r="AM22" s="27">
        <f>ASIN((-$I$5*AM20+Stuurstang!$D$7)*SIN(AL16)/AM21)</f>
        <v>8.1181942659210068E-2</v>
      </c>
    </row>
    <row r="23" spans="1:43" x14ac:dyDescent="0.2">
      <c r="A23" s="2"/>
      <c r="B23" s="2" t="s">
        <v>11</v>
      </c>
      <c r="C23" s="2"/>
      <c r="D23" s="2"/>
      <c r="E23" s="2">
        <f>ACOS((Stuurstang!$D$9^2+E21^2-D12^2)/(2*Stuurstang!$D$9*E21))</f>
        <v>1.9921206591640739</v>
      </c>
      <c r="F23" s="2"/>
      <c r="G23" s="2" t="s">
        <v>16</v>
      </c>
      <c r="H23" s="2"/>
      <c r="I23" s="2"/>
      <c r="J23" s="2">
        <f>ACOS((Stuurstang!$D$9^2+J21^2-D12^2)/(2*Stuurstang!$D$9*J21))</f>
        <v>0.59568454646217217</v>
      </c>
      <c r="K23" s="2"/>
      <c r="L23" s="26"/>
      <c r="M23" s="7">
        <f>ACOS((Stuurstang!$D$9^2+M21^2-L12^2)/(2*Stuurstang!$D$9*M21))</f>
        <v>1.9223069183671979</v>
      </c>
      <c r="N23" s="7"/>
      <c r="O23" s="27">
        <f>ACOS((Stuurstang!$D$9^2+O21^2-L12^2)/(2*Stuurstang!$D$9*O21))</f>
        <v>0.69890005042592263</v>
      </c>
      <c r="P23" s="26"/>
      <c r="Q23" s="7">
        <f>ACOS((Stuurstang!$D$9^2+Q21^2-P12^2)/(2*Stuurstang!$D$9*Q21))</f>
        <v>1.8479375639874425</v>
      </c>
      <c r="R23" s="7"/>
      <c r="S23" s="27">
        <f>ACOS((Stuurstang!$D$9^2+S21^2-P12^2)/(2*Stuurstang!$D$9*S21))</f>
        <v>0.7975493152216564</v>
      </c>
      <c r="T23" s="26"/>
      <c r="U23" s="7">
        <f>ACOS((Stuurstang!$D$9^2+U21^2-T12^2)/(2*Stuurstang!$D$9*U21))</f>
        <v>1.7699621264963894</v>
      </c>
      <c r="V23" s="7"/>
      <c r="W23" s="27">
        <f>ACOS((Stuurstang!$D$9^2+W21^2-T12^2)/(2*Stuurstang!$D$9*W21))</f>
        <v>0.89319055305873629</v>
      </c>
      <c r="X23" s="26"/>
      <c r="Y23" s="7">
        <f>ACOS((Stuurstang!$D$9^2+Y21^2-X12^2)/(2*Stuurstang!$D$9*Y21))</f>
        <v>1.6891456692966353</v>
      </c>
      <c r="Z23" s="7"/>
      <c r="AA23" s="27">
        <f>ACOS((Stuurstang!$D$9^2+AA21^2-X12^2)/(2*Stuurstang!$D$9*AA21))</f>
        <v>0.98671607484966439</v>
      </c>
      <c r="AB23" s="26"/>
      <c r="AC23" s="7">
        <f>ACOS((Stuurstang!$D$9^2+AC21^2-AB12^2)/(2*Stuurstang!$D$9*AC21))</f>
        <v>1.6060899724844715</v>
      </c>
      <c r="AD23" s="7"/>
      <c r="AE23" s="27">
        <f>ACOS((Stuurstang!$D$9^2+AE21^2-AB12^2)/(2*Stuurstang!$D$9*AE21))</f>
        <v>1.0786613652200177</v>
      </c>
      <c r="AF23" s="26"/>
      <c r="AG23" s="7">
        <f>ACOS((Stuurstang!$D$9^2+AG21^2-AF12^2)/(2*Stuurstang!$D$9*AG21))</f>
        <v>1.5212554577999675</v>
      </c>
      <c r="AH23" s="7"/>
      <c r="AI23" s="27">
        <f>ACOS((Stuurstang!$D$9^2+AI21^2-AF12^2)/(2*Stuurstang!$D$9*AI21))</f>
        <v>1.1693450650522426</v>
      </c>
      <c r="AJ23" s="26"/>
      <c r="AK23" s="7">
        <f>ACOS((Stuurstang!$D$9^2+AK21^2-AJ12^2)/(2*Stuurstang!$D$9*AK21))</f>
        <v>1.4349805061813183</v>
      </c>
      <c r="AL23" s="7"/>
      <c r="AM23" s="27">
        <f>ACOS((Stuurstang!$D$9^2+AM21^2-AJ12^2)/(2*Stuurstang!$D$9*AM21))</f>
        <v>1.2589377769340679</v>
      </c>
    </row>
    <row r="24" spans="1:43" x14ac:dyDescent="0.2">
      <c r="A24" s="2"/>
      <c r="B24" s="2" t="s">
        <v>17</v>
      </c>
      <c r="C24" s="2"/>
      <c r="D24" s="2"/>
      <c r="E24" s="2">
        <f>$I$6*PI()-$I$6*E23-$I$5*E22</f>
        <v>-1.1921693336251606</v>
      </c>
      <c r="F24" s="2"/>
      <c r="G24" s="2" t="s">
        <v>18</v>
      </c>
      <c r="H24" s="2"/>
      <c r="I24" s="2"/>
      <c r="J24" s="2">
        <f>$I$6*PI()-$I$6*J23-$I$5*J22</f>
        <v>-2.5987879518574513</v>
      </c>
      <c r="K24" s="2"/>
      <c r="L24" s="26"/>
      <c r="M24" s="7">
        <f>$I$6*PI()-$I$6*M23-$I$5*M22</f>
        <v>-1.2706270939378024</v>
      </c>
      <c r="N24" s="7"/>
      <c r="O24" s="27">
        <f>$I$6*PI()-$I$6*O23-$I$5*O22</f>
        <v>-2.5020848501227086</v>
      </c>
      <c r="P24" s="26"/>
      <c r="Q24" s="7">
        <f>$I$6*PI()-$I$6*Q23-$I$5*Q22</f>
        <v>-1.3526345562936493</v>
      </c>
      <c r="R24" s="7"/>
      <c r="S24" s="27">
        <f>$I$6*PI()-$I$6*S23-$I$5*S22</f>
        <v>-2.4092302694356937</v>
      </c>
      <c r="T24" s="26"/>
      <c r="U24" s="7">
        <f>$I$6*PI()-$I$6*U23-$I$5*U22</f>
        <v>-1.4371790784498977</v>
      </c>
      <c r="V24" s="7"/>
      <c r="W24" s="27">
        <f>$I$6*PI()-$I$6*W23-$I$5*W22</f>
        <v>-2.3186001675538015</v>
      </c>
      <c r="X24" s="26"/>
      <c r="Y24" s="7">
        <f>$I$6*PI()-$I$6*Y23-$I$5*Y22</f>
        <v>-1.5234511713238907</v>
      </c>
      <c r="Z24" s="7"/>
      <c r="AA24" s="27">
        <f>$I$6*PI()-$I$6*AA23-$I$5*AA22</f>
        <v>-2.2292385027889758</v>
      </c>
      <c r="AB24" s="26"/>
      <c r="AC24" s="7">
        <f>$I$6*PI()-$I$6*AC23-$I$5*AC22</f>
        <v>-1.610822331046327</v>
      </c>
      <c r="AD24" s="7"/>
      <c r="AE24" s="27">
        <f>$I$6*PI()-$I$6*AE23-$I$5*AE22</f>
        <v>-2.1405489576177157</v>
      </c>
      <c r="AF24" s="26"/>
      <c r="AG24" s="7">
        <f>$I$6*PI()-$I$6*AG23-$I$5*AG22</f>
        <v>-1.6988217427918637</v>
      </c>
      <c r="AH24" s="7"/>
      <c r="AI24" s="27">
        <f>$I$6*PI()-$I$6*AI23-$I$5*AI22</f>
        <v>-2.0521559205199336</v>
      </c>
      <c r="AJ24" s="26"/>
      <c r="AK24" s="7">
        <f>$I$6*PI()-$I$6*AK23-$I$5*AK22</f>
        <v>-1.7871153390375221</v>
      </c>
      <c r="AL24" s="7"/>
      <c r="AM24" s="27">
        <f>$I$6*PI()-$I$6*AM23-$I$5*AM22</f>
        <v>-1.9638368193149351</v>
      </c>
    </row>
    <row r="25" spans="1:43" x14ac:dyDescent="0.2">
      <c r="A25" s="2"/>
      <c r="B25" s="2"/>
      <c r="C25" s="2"/>
      <c r="D25" s="2" t="s">
        <v>1</v>
      </c>
      <c r="E25" s="2" t="s">
        <v>2</v>
      </c>
      <c r="F25" s="2"/>
      <c r="G25" s="2"/>
      <c r="H25" s="2"/>
      <c r="I25" s="2" t="s">
        <v>1</v>
      </c>
      <c r="J25" s="2" t="s">
        <v>2</v>
      </c>
      <c r="K25" s="2"/>
      <c r="L25" s="26" t="s">
        <v>1</v>
      </c>
      <c r="M25" s="7" t="s">
        <v>2</v>
      </c>
      <c r="N25" s="7" t="s">
        <v>1</v>
      </c>
      <c r="O25" s="27" t="s">
        <v>2</v>
      </c>
      <c r="P25" s="26" t="s">
        <v>1</v>
      </c>
      <c r="Q25" s="7" t="s">
        <v>2</v>
      </c>
      <c r="R25" s="7" t="s">
        <v>1</v>
      </c>
      <c r="S25" s="27" t="s">
        <v>2</v>
      </c>
      <c r="T25" s="26" t="s">
        <v>1</v>
      </c>
      <c r="U25" s="7" t="s">
        <v>2</v>
      </c>
      <c r="V25" s="7" t="s">
        <v>1</v>
      </c>
      <c r="W25" s="27" t="s">
        <v>2</v>
      </c>
      <c r="X25" s="26" t="s">
        <v>1</v>
      </c>
      <c r="Y25" s="7" t="s">
        <v>2</v>
      </c>
      <c r="Z25" s="7" t="s">
        <v>1</v>
      </c>
      <c r="AA25" s="27" t="s">
        <v>2</v>
      </c>
      <c r="AB25" s="26" t="s">
        <v>1</v>
      </c>
      <c r="AC25" s="7" t="s">
        <v>2</v>
      </c>
      <c r="AD25" s="7" t="s">
        <v>1</v>
      </c>
      <c r="AE25" s="27" t="s">
        <v>2</v>
      </c>
      <c r="AF25" s="26" t="s">
        <v>1</v>
      </c>
      <c r="AG25" s="7" t="s">
        <v>2</v>
      </c>
      <c r="AH25" s="7" t="s">
        <v>1</v>
      </c>
      <c r="AI25" s="27" t="s">
        <v>2</v>
      </c>
      <c r="AJ25" s="26" t="s">
        <v>1</v>
      </c>
      <c r="AK25" s="7" t="s">
        <v>2</v>
      </c>
      <c r="AL25" s="7" t="s">
        <v>1</v>
      </c>
      <c r="AM25" s="27" t="s">
        <v>2</v>
      </c>
    </row>
    <row r="26" spans="1:43" x14ac:dyDescent="0.2">
      <c r="A26" s="2"/>
      <c r="B26" s="2" t="s">
        <v>20</v>
      </c>
      <c r="C26" s="2"/>
      <c r="D26" s="2">
        <f>D7+Stuurstang!$D$9*COS(E24)</f>
        <v>83.696450573060346</v>
      </c>
      <c r="E26" s="2">
        <f>E7+Stuurstang!$D$9*SIN(E24)</f>
        <v>-6.7917303641959954</v>
      </c>
      <c r="F26" s="2"/>
      <c r="G26" s="2" t="s">
        <v>21</v>
      </c>
      <c r="H26" s="2"/>
      <c r="I26" s="2">
        <f>D7+Stuurstang!$D$9*COS(J24)</f>
        <v>71.437366883689876</v>
      </c>
      <c r="J26" s="2">
        <f>E7+Stuurstang!$D$9*SIN(J24)</f>
        <v>-2.6653958333770724</v>
      </c>
      <c r="K26" s="2"/>
      <c r="L26" s="26">
        <f>L7+Stuurstang!$D$9*COS(M24)</f>
        <v>82.956818767522947</v>
      </c>
      <c r="M26" s="7">
        <f>M7+Stuurstang!$D$9*SIN(M24)</f>
        <v>-7.052864637166385</v>
      </c>
      <c r="N26" s="7">
        <f>L7+Stuurstang!$D$9*COS(O24)</f>
        <v>71.976104017586891</v>
      </c>
      <c r="O26" s="27">
        <f>M7+Stuurstang!$D$9*SIN(O24)</f>
        <v>-3.4680058028972125</v>
      </c>
      <c r="P26" s="26">
        <f>P7+Stuurstang!$D$9*COS(Q24)</f>
        <v>82.164353319036437</v>
      </c>
      <c r="Q26" s="7">
        <f>Q7+Stuurstang!$D$9*SIN(Q24)</f>
        <v>-7.2629695641426615</v>
      </c>
      <c r="R26" s="7">
        <f>P7+Stuurstang!$D$9*COS(S24)</f>
        <v>72.564030778039907</v>
      </c>
      <c r="S26" s="27">
        <f>Q7+Stuurstang!$D$9*SIN(S24)</f>
        <v>-4.1862816071462481</v>
      </c>
      <c r="T26" s="26">
        <f>T7+Stuurstang!$D$9*COS(U24)</f>
        <v>81.332200123198504</v>
      </c>
      <c r="U26" s="7">
        <f>U7+Stuurstang!$D$9*SIN(U24)</f>
        <v>-7.4108648881795318</v>
      </c>
      <c r="V26" s="7">
        <f>T7+Stuurstang!$D$9*COS(W24)</f>
        <v>73.199697877664789</v>
      </c>
      <c r="W26" s="27">
        <f>U7+Stuurstang!$D$9*SIN(W24)</f>
        <v>-4.8318409042315702</v>
      </c>
      <c r="X26" s="26">
        <f>X7+Stuurstang!$D$9*COS(Y24)</f>
        <v>80.47327469589311</v>
      </c>
      <c r="Y26" s="7">
        <f>Y7+Stuurstang!$D$9*SIN(Y24)</f>
        <v>-7.488794274697387</v>
      </c>
      <c r="Z26" s="7">
        <f>X7+Stuurstang!$D$9*COS(AA24)</f>
        <v>73.88114560352146</v>
      </c>
      <c r="AA26" s="27">
        <f>Y7+Stuurstang!$D$9*SIN(AA24)</f>
        <v>-5.4094640067892898</v>
      </c>
      <c r="AB26" s="26">
        <f>AB7+Stuurstang!$D$9*COS(AC24)</f>
        <v>79.599846823760871</v>
      </c>
      <c r="AC26" s="7">
        <f>AC7+Stuurstang!$D$9*SIN(AC24)</f>
        <v>-7.4919906643043728</v>
      </c>
      <c r="AD26" s="7">
        <f>AB7+Stuurstang!$D$9*COS(AE24)</f>
        <v>74.605762281258507</v>
      </c>
      <c r="AE26" s="27">
        <f>AC7+Stuurstang!$D$9*SIN(AE24)</f>
        <v>-5.9203443773818734</v>
      </c>
      <c r="AF26" s="26">
        <f>AF7+Stuurstang!$D$9*COS(AG24)</f>
        <v>78.723240310818454</v>
      </c>
      <c r="AG26" s="7">
        <f>AG7+Stuurstang!$D$9*SIN(AG24)</f>
        <v>-7.4181593401236015</v>
      </c>
      <c r="AH26" s="7">
        <f>AF7+Stuurstang!$D$9*COS(AI24)</f>
        <v>75.370152988971043</v>
      </c>
      <c r="AI26" s="27">
        <f>AG7+Stuurstang!$D$9*SIN(AI24)</f>
        <v>-6.3636627110053272</v>
      </c>
      <c r="AJ26" s="26">
        <f>AJ7+Stuurstang!$D$9*COS(AK24)</f>
        <v>77.853641138383509</v>
      </c>
      <c r="AK26" s="7">
        <f>AK7+Stuurstang!$D$9*SIN(AK24)</f>
        <v>-7.2669413655023227</v>
      </c>
      <c r="AL26" s="7">
        <f>AJ7+Stuurstang!$D$9*COS(AM24)</f>
        <v>76.170011674740962</v>
      </c>
      <c r="AM26" s="27">
        <f>AK7+Stuurstang!$D$9*SIN(AM24)</f>
        <v>-6.7374882640455596</v>
      </c>
    </row>
    <row r="27" spans="1:43" x14ac:dyDescent="0.2">
      <c r="A27" s="2"/>
      <c r="B27" s="2" t="s">
        <v>32</v>
      </c>
      <c r="C27" s="2"/>
      <c r="D27" s="2">
        <f>E24-$I$6*D11</f>
        <v>0.33425379678626754</v>
      </c>
      <c r="E27" s="2"/>
      <c r="F27" s="2"/>
      <c r="G27" s="2" t="s">
        <v>34</v>
      </c>
      <c r="H27" s="2"/>
      <c r="I27" s="2">
        <f>J24-$I$6*D11</f>
        <v>-1.0723648214460231</v>
      </c>
      <c r="J27" s="2"/>
      <c r="K27" s="2"/>
      <c r="L27" s="26">
        <f>M24-$I$6*L11</f>
        <v>0.25579603647362581</v>
      </c>
      <c r="M27" s="7"/>
      <c r="N27" s="7">
        <f>O24-$I$6*L11</f>
        <v>-0.97566171971128046</v>
      </c>
      <c r="O27" s="27"/>
      <c r="P27" s="26">
        <f>Q24-$I$6*P11</f>
        <v>0.17378857411777893</v>
      </c>
      <c r="Q27" s="7"/>
      <c r="R27" s="7">
        <f>S24-$I$6*P11</f>
        <v>-0.88280713902426555</v>
      </c>
      <c r="S27" s="27"/>
      <c r="T27" s="26">
        <f>U24-$I$6*T11</f>
        <v>8.9244051961530513E-2</v>
      </c>
      <c r="U27" s="7"/>
      <c r="V27" s="7">
        <f>W24-$I$6*T11</f>
        <v>-0.79217703714237331</v>
      </c>
      <c r="W27" s="27"/>
      <c r="X27" s="26">
        <f>Y24-$I$6*X11</f>
        <v>2.9719590875374458E-3</v>
      </c>
      <c r="Y27" s="7"/>
      <c r="Z27" s="7">
        <f>AA24-$I$6*X11</f>
        <v>-0.70281537237754765</v>
      </c>
      <c r="AA27" s="27"/>
      <c r="AB27" s="26">
        <f>AC24-$I$6*AB11</f>
        <v>-8.4399200634898808E-2</v>
      </c>
      <c r="AC27" s="7"/>
      <c r="AD27" s="7">
        <f>AE24-$I$6*AB11</f>
        <v>-0.6141258272062875</v>
      </c>
      <c r="AE27" s="27"/>
      <c r="AF27" s="26">
        <f>AG24-$I$6*AF11</f>
        <v>-0.17239861238043552</v>
      </c>
      <c r="AG27" s="7"/>
      <c r="AH27" s="7">
        <f>AI24-$I$6*AF11</f>
        <v>-0.52573279010850538</v>
      </c>
      <c r="AI27" s="27"/>
      <c r="AJ27" s="26">
        <f>AK24-$I$6*AJ11</f>
        <v>-0.26069220862609388</v>
      </c>
      <c r="AK27" s="7"/>
      <c r="AL27" s="7">
        <f>AM24-$I$6*AJ11</f>
        <v>-0.43741368890350696</v>
      </c>
      <c r="AM27" s="27"/>
    </row>
    <row r="28" spans="1:43" x14ac:dyDescent="0.2">
      <c r="A28" s="2"/>
      <c r="B28" s="2" t="s">
        <v>29</v>
      </c>
      <c r="C28" s="2"/>
      <c r="D28" s="2">
        <f>D7+Stuurstang!$D$11*COS(D27)</f>
        <v>113.06293813508387</v>
      </c>
      <c r="E28" s="2">
        <f>E7+Stuurstang!$D$11*SIN(D27)</f>
        <v>13.982252473953761</v>
      </c>
      <c r="F28" s="2"/>
      <c r="G28" s="2" t="s">
        <v>35</v>
      </c>
      <c r="H28" s="2"/>
      <c r="I28" s="2">
        <f>D7+Stuurstang!$D$11*COS(I27)</f>
        <v>96.731696305765013</v>
      </c>
      <c r="J28" s="2">
        <f>E7+Stuurstang!$D$11*SIN(I27)</f>
        <v>-28.241671046507044</v>
      </c>
      <c r="K28" s="2"/>
      <c r="L28" s="26">
        <f>L7+Stuurstang!$D$11*COS(L27)</f>
        <v>113.86117674004284</v>
      </c>
      <c r="M28" s="7">
        <f>M7+Stuurstang!$D$11*SIN(L27)</f>
        <v>11.355546836846488</v>
      </c>
      <c r="N28" s="7">
        <f>L7+Stuurstang!$D$11*COS(N27)</f>
        <v>99.621707842614143</v>
      </c>
      <c r="O28" s="27">
        <f>M7+Stuurstang!$D$11*SIN(N27)</f>
        <v>-26.482556501093807</v>
      </c>
      <c r="P28" s="26">
        <f>P7+Stuurstang!$D$11*COS(P27)</f>
        <v>114.47278573860062</v>
      </c>
      <c r="Q28" s="7">
        <f>Q7+Stuurstang!$D$11*SIN(P27)</f>
        <v>8.5520280419487289</v>
      </c>
      <c r="R28" s="7">
        <f>P7+Stuurstang!$D$11*COS(R27)</f>
        <v>102.22447729153211</v>
      </c>
      <c r="S28" s="27">
        <f>Q7+Stuurstang!$D$11*SIN(R27)</f>
        <v>-24.538354408472681</v>
      </c>
      <c r="T28" s="26">
        <f>T7+Stuurstang!$D$11*COS(T27)</f>
        <v>114.86071371811718</v>
      </c>
      <c r="U28" s="7">
        <f>U7+Stuurstang!$D$11*SIN(T27)</f>
        <v>5.6193972275867843</v>
      </c>
      <c r="V28" s="7">
        <f>T7+Stuurstang!$D$11*COS(V27)</f>
        <v>104.58040142187143</v>
      </c>
      <c r="W28" s="27">
        <f>U7+Stuurstang!$D$11*SIN(V27)</f>
        <v>-22.415935983616208</v>
      </c>
      <c r="X28" s="26">
        <f>X7+Stuurstang!$D$11*COS(X27)</f>
        <v>114.99984543064946</v>
      </c>
      <c r="Y28" s="7">
        <f>Y7+Stuurstang!$D$11*SIN(X27)</f>
        <v>2.6040184149391701</v>
      </c>
      <c r="Z28" s="7">
        <f>X7+Stuurstang!$D$11*COS(Z27)</f>
        <v>106.70589060328493</v>
      </c>
      <c r="AA28" s="27">
        <f>Y7+Stuurstang!$D$11*SIN(Z27)</f>
        <v>-20.122895638829661</v>
      </c>
      <c r="AB28" s="26">
        <f>AB7+Stuurstang!$D$11*COS(AB27)</f>
        <v>114.87541754006821</v>
      </c>
      <c r="AC28" s="7">
        <f>AC7+Stuurstang!$D$11*SIN(AB27)</f>
        <v>-0.45046630312934965</v>
      </c>
      <c r="AD28" s="7">
        <f>AB7+Stuurstang!$D$11*COS(AD27)</f>
        <v>108.6047123669898</v>
      </c>
      <c r="AE28" s="27">
        <f>AC7+Stuurstang!$D$11*SIN(AD27)</f>
        <v>-17.668550528032014</v>
      </c>
      <c r="AF28" s="26">
        <f>AF7+Stuurstang!$D$11*COS(AF27)</f>
        <v>114.48116452270769</v>
      </c>
      <c r="AG28" s="7">
        <f>AG7+Stuurstang!$D$11*SIN(AF27)</f>
        <v>-3.5041063579824137</v>
      </c>
      <c r="AH28" s="7">
        <f>AF7+Stuurstang!$D$11*COS(AH27)</f>
        <v>110.2734748887318</v>
      </c>
      <c r="AI28" s="27">
        <f>AG7+Stuurstang!$D$11*SIN(AH27)</f>
        <v>-15.06464398048891</v>
      </c>
      <c r="AJ28" s="26">
        <f>AJ7+Stuurstang!$D$11*COS(AJ27)</f>
        <v>113.81741276371113</v>
      </c>
      <c r="AK28" s="7">
        <f>AK7+Stuurstang!$D$11*SIN(AJ27)</f>
        <v>-6.5212301804569393</v>
      </c>
      <c r="AL28" s="7">
        <f>AJ7+Stuurstang!$D$11*COS(AL27)</f>
        <v>111.70475868049809</v>
      </c>
      <c r="AM28" s="27">
        <f>AK7+Stuurstang!$D$11*SIN(AL27)</f>
        <v>-12.325932584879141</v>
      </c>
    </row>
    <row r="29" spans="1:43" x14ac:dyDescent="0.2">
      <c r="A29" s="2"/>
      <c r="B29" s="2" t="s">
        <v>30</v>
      </c>
      <c r="C29" s="2"/>
      <c r="D29" s="2">
        <f>-Stuurstang!$D$12+DEGREES(D27)</f>
        <v>39.151331842076608</v>
      </c>
      <c r="E29" s="2"/>
      <c r="F29" s="2"/>
      <c r="G29" s="2" t="s">
        <v>36</v>
      </c>
      <c r="H29" s="2"/>
      <c r="I29" s="2">
        <f>-Stuurstang!$D$12+DEGREES(I27)</f>
        <v>-41.441978367157233</v>
      </c>
      <c r="J29" s="2"/>
      <c r="K29" s="2"/>
      <c r="L29" s="26">
        <f>-Stuurstang!$D$12+DEGREES(L27)</f>
        <v>34.65603330611323</v>
      </c>
      <c r="M29" s="7"/>
      <c r="N29" s="7">
        <f>-Stuurstang!$D$12+DEGREES(N27)</f>
        <v>-35.901298771932254</v>
      </c>
      <c r="O29" s="27"/>
      <c r="P29" s="26">
        <f>-Stuurstang!$D$12+DEGREES(P27)</f>
        <v>29.957351824545228</v>
      </c>
      <c r="Q29" s="7"/>
      <c r="R29" s="7">
        <f>-Stuurstang!$D$12+DEGREES(R27)</f>
        <v>-30.581123190109331</v>
      </c>
      <c r="S29" s="27"/>
      <c r="T29" s="26">
        <f>-Stuurstang!$D$12+DEGREES(T27)</f>
        <v>25.113307524041915</v>
      </c>
      <c r="U29" s="7"/>
      <c r="V29" s="7">
        <f>-Stuurstang!$D$12+DEGREES(V27)</f>
        <v>-25.388400855436245</v>
      </c>
      <c r="W29" s="27"/>
      <c r="X29" s="26">
        <f>-Stuurstang!$D$12+DEGREES(X27)</f>
        <v>20.170280712601446</v>
      </c>
      <c r="Y29" s="7"/>
      <c r="Z29" s="7">
        <f>-Stuurstang!$D$12+DEGREES(Z27)</f>
        <v>-20.268354614148819</v>
      </c>
      <c r="AA29" s="27"/>
      <c r="AB29" s="26">
        <f>-Stuurstang!$D$12+DEGREES(AB27)</f>
        <v>15.16428200934244</v>
      </c>
      <c r="AC29" s="7"/>
      <c r="AD29" s="7">
        <f>-Stuurstang!$D$12+DEGREES(AD27)</f>
        <v>-15.186817988900742</v>
      </c>
      <c r="AE29" s="27"/>
      <c r="AF29" s="26">
        <f>-Stuurstang!$D$12+DEGREES(AF27)</f>
        <v>10.122287116689222</v>
      </c>
      <c r="AG29" s="7"/>
      <c r="AH29" s="7">
        <f>-Stuurstang!$D$12+DEGREES(AH27)</f>
        <v>-10.122270024854512</v>
      </c>
      <c r="AI29" s="27"/>
      <c r="AJ29" s="26">
        <f>-Stuurstang!$D$12+DEGREES(AJ27)</f>
        <v>5.0634366937808668</v>
      </c>
      <c r="AK29" s="7"/>
      <c r="AL29" s="7">
        <f>-Stuurstang!$D$12+DEGREES(AL27)</f>
        <v>-5.0619582754193182</v>
      </c>
      <c r="AM29" s="27"/>
    </row>
    <row r="30" spans="1:43" x14ac:dyDescent="0.2">
      <c r="A30" s="2"/>
      <c r="B30" s="2" t="s">
        <v>31</v>
      </c>
      <c r="C30" s="2"/>
      <c r="D30" s="2">
        <f>SQRT((D9-D28)^2+(E9-E28)^2)</f>
        <v>23.453600693417439</v>
      </c>
      <c r="E30" s="2"/>
      <c r="F30" s="2"/>
      <c r="G30" s="2" t="s">
        <v>37</v>
      </c>
      <c r="H30" s="2"/>
      <c r="I30" s="2">
        <f>SQRT((D9-I28)^2+(E9-J28)^2)</f>
        <v>24.767225112215165</v>
      </c>
      <c r="J30" s="2"/>
      <c r="K30" s="2"/>
      <c r="L30" s="28">
        <f>SQRT((L9-L28)^2+(M9-M28)^2)</f>
        <v>20.84891901090749</v>
      </c>
      <c r="M30" s="29"/>
      <c r="N30" s="29">
        <f>SQRT((L9-N28)^2+(M9-O28)^2)</f>
        <v>21.573839396920246</v>
      </c>
      <c r="O30" s="30"/>
      <c r="P30" s="28">
        <f>SQRT((P9-P28)^2+(Q9-Q28)^2)</f>
        <v>18.092167325323679</v>
      </c>
      <c r="Q30" s="29"/>
      <c r="R30" s="29">
        <f>SQRT((P9-R28)^2+(Q9-S28)^2)</f>
        <v>18.459990755071001</v>
      </c>
      <c r="S30" s="30"/>
      <c r="T30" s="28">
        <f>SQRT((T9-T28)^2+(U9-U28)^2)</f>
        <v>15.218340499006063</v>
      </c>
      <c r="U30" s="29"/>
      <c r="V30" s="29">
        <f>SQRT((T9-V28)^2+(U9-W28)^2)</f>
        <v>15.382322062002396</v>
      </c>
      <c r="W30" s="30"/>
      <c r="X30" s="28">
        <f>SQRT((X9-X28)^2+(Y9-Y28)^2)</f>
        <v>12.257797270921564</v>
      </c>
      <c r="Y30" s="29"/>
      <c r="Z30" s="29">
        <f>SQRT((X9-Z28)^2+(Y9-AA28)^2)</f>
        <v>12.316777020877998</v>
      </c>
      <c r="AA30" s="30"/>
      <c r="AB30" s="28">
        <f>SQRT((AB9-AB28)^2+(AC9-AC28)^2)</f>
        <v>9.2363196568092949</v>
      </c>
      <c r="AC30" s="29"/>
      <c r="AD30" s="29">
        <f>SQRT((AB9-AD28)^2+(AC9-AE28)^2)</f>
        <v>9.2499655606787812</v>
      </c>
      <c r="AE30" s="30"/>
      <c r="AF30" s="28">
        <f>SQRT((AF9-AF28)^2+(AG9-AG28)^2)</f>
        <v>6.1753151932910857</v>
      </c>
      <c r="AG30" s="29"/>
      <c r="AH30" s="29">
        <f>SQRT((AF9-AH28)^2+(AG9-AI28)^2)</f>
        <v>6.1753047931907714</v>
      </c>
      <c r="AI30" s="30"/>
      <c r="AJ30" s="28">
        <f>SQRT((AJ9-AJ28)^2+(AK9-AK28)^2)</f>
        <v>3.0920710341614988</v>
      </c>
      <c r="AK30" s="29"/>
      <c r="AL30" s="29">
        <f>SQRT((AJ9-AL28)^2+(AK9-AM28)^2)</f>
        <v>3.0911688010303573</v>
      </c>
      <c r="AM30" s="30"/>
    </row>
    <row r="31" spans="1:43" x14ac:dyDescent="0.2">
      <c r="A31" s="2"/>
      <c r="B31" s="2"/>
      <c r="C31" s="2"/>
      <c r="D31" s="2"/>
      <c r="E31" s="2"/>
      <c r="F31" s="2"/>
      <c r="G31" s="2"/>
      <c r="H31" s="2"/>
      <c r="I31" s="2"/>
      <c r="J31" s="2"/>
      <c r="K31" s="2"/>
      <c r="L31" s="25" t="s">
        <v>1</v>
      </c>
      <c r="M31" s="17" t="s">
        <v>2</v>
      </c>
      <c r="N31" s="17"/>
      <c r="O31" s="31" t="s">
        <v>134</v>
      </c>
      <c r="P31" s="25" t="s">
        <v>1</v>
      </c>
      <c r="Q31" s="17" t="s">
        <v>2</v>
      </c>
      <c r="R31" s="17"/>
      <c r="S31" s="31" t="s">
        <v>135</v>
      </c>
      <c r="T31" s="25" t="s">
        <v>1</v>
      </c>
      <c r="U31" s="17" t="s">
        <v>2</v>
      </c>
      <c r="V31" s="17"/>
      <c r="W31" s="31" t="s">
        <v>136</v>
      </c>
      <c r="X31" s="25" t="s">
        <v>1</v>
      </c>
      <c r="Y31" s="17" t="s">
        <v>2</v>
      </c>
      <c r="Z31" s="17"/>
      <c r="AA31" s="31" t="s">
        <v>137</v>
      </c>
      <c r="AB31" s="25" t="s">
        <v>1</v>
      </c>
      <c r="AC31" s="17" t="s">
        <v>2</v>
      </c>
      <c r="AD31" s="17"/>
      <c r="AE31" s="31" t="s">
        <v>138</v>
      </c>
      <c r="AF31" s="25" t="s">
        <v>1</v>
      </c>
      <c r="AG31" s="17" t="s">
        <v>2</v>
      </c>
      <c r="AH31" s="17"/>
      <c r="AI31" s="31" t="s">
        <v>139</v>
      </c>
      <c r="AJ31" s="25" t="s">
        <v>1</v>
      </c>
      <c r="AK31" s="17" t="s">
        <v>2</v>
      </c>
      <c r="AL31" s="17"/>
      <c r="AM31" s="31" t="s">
        <v>140</v>
      </c>
      <c r="AN31" s="7"/>
      <c r="AO31" s="7"/>
      <c r="AP31" s="7"/>
      <c r="AQ31" s="32"/>
    </row>
    <row r="32" spans="1:43" ht="13.5" thickBot="1" x14ac:dyDescent="0.25">
      <c r="A32" s="2"/>
      <c r="B32" s="2"/>
      <c r="C32" s="2"/>
      <c r="D32" s="2"/>
      <c r="E32" s="2"/>
      <c r="F32" s="2"/>
      <c r="G32" s="2"/>
      <c r="H32" s="2"/>
      <c r="I32" s="2"/>
      <c r="J32" s="2"/>
      <c r="K32" s="2"/>
      <c r="L32" s="26">
        <v>0</v>
      </c>
      <c r="M32" s="7">
        <v>0</v>
      </c>
      <c r="N32" s="7"/>
      <c r="O32" s="27"/>
      <c r="P32" s="26">
        <v>0</v>
      </c>
      <c r="Q32" s="7">
        <v>0</v>
      </c>
      <c r="R32" s="7"/>
      <c r="S32" s="27"/>
      <c r="T32" s="26">
        <v>0</v>
      </c>
      <c r="U32" s="7">
        <v>0</v>
      </c>
      <c r="V32" s="7"/>
      <c r="W32" s="27"/>
      <c r="X32" s="26">
        <v>0</v>
      </c>
      <c r="Y32" s="7">
        <v>0</v>
      </c>
      <c r="Z32" s="7"/>
      <c r="AA32" s="27"/>
      <c r="AB32" s="26">
        <v>0</v>
      </c>
      <c r="AC32" s="7">
        <v>0</v>
      </c>
      <c r="AD32" s="7"/>
      <c r="AE32" s="27"/>
      <c r="AF32" s="26">
        <v>0</v>
      </c>
      <c r="AG32" s="7">
        <v>0</v>
      </c>
      <c r="AH32" s="7"/>
      <c r="AI32" s="27"/>
      <c r="AJ32" s="26">
        <v>0</v>
      </c>
      <c r="AK32" s="7">
        <v>0</v>
      </c>
      <c r="AL32" s="7"/>
      <c r="AM32" s="27"/>
      <c r="AN32" s="7"/>
      <c r="AO32" s="7"/>
      <c r="AP32" s="7"/>
      <c r="AQ32" s="7"/>
    </row>
    <row r="33" spans="1:43" x14ac:dyDescent="0.2">
      <c r="A33" s="2"/>
      <c r="B33" s="3" t="s">
        <v>25</v>
      </c>
      <c r="C33" s="4"/>
      <c r="D33" s="5"/>
      <c r="E33" s="2"/>
      <c r="F33" s="3" t="s">
        <v>142</v>
      </c>
      <c r="G33" s="4"/>
      <c r="H33" s="5"/>
      <c r="I33" s="3" t="s">
        <v>144</v>
      </c>
      <c r="J33" s="5"/>
      <c r="K33" s="2"/>
      <c r="L33" s="26">
        <f>Stuurstang!$D$8</f>
        <v>1</v>
      </c>
      <c r="M33" s="7">
        <f>$I$5*SQRT(Stuurstang!$D$7^2-Stuurstang!$D$8^2)</f>
        <v>8.9442719099991592</v>
      </c>
      <c r="N33" s="7"/>
      <c r="O33" s="27"/>
      <c r="P33" s="26">
        <f>Stuurstang!$D$8</f>
        <v>1</v>
      </c>
      <c r="Q33" s="7">
        <f>$I$5*SQRT(Stuurstang!$D$7^2-Stuurstang!$D$8^2)</f>
        <v>8.9442719099991592</v>
      </c>
      <c r="R33" s="7"/>
      <c r="S33" s="27"/>
      <c r="T33" s="26">
        <f>Stuurstang!$D$8</f>
        <v>1</v>
      </c>
      <c r="U33" s="7">
        <f>$I$5*SQRT(Stuurstang!$D$7^2-Stuurstang!$D$8^2)</f>
        <v>8.9442719099991592</v>
      </c>
      <c r="V33" s="7"/>
      <c r="W33" s="27"/>
      <c r="X33" s="26">
        <f>Stuurstang!$D$8</f>
        <v>1</v>
      </c>
      <c r="Y33" s="7">
        <f>$I$5*SQRT(Stuurstang!$D$7^2-Stuurstang!$D$8^2)</f>
        <v>8.9442719099991592</v>
      </c>
      <c r="Z33" s="7"/>
      <c r="AA33" s="27"/>
      <c r="AB33" s="26">
        <f>Stuurstang!$D$8</f>
        <v>1</v>
      </c>
      <c r="AC33" s="7">
        <f>$I$5*SQRT(Stuurstang!$D$7^2-Stuurstang!$D$8^2)</f>
        <v>8.9442719099991592</v>
      </c>
      <c r="AD33" s="7"/>
      <c r="AE33" s="27"/>
      <c r="AF33" s="26">
        <f>Stuurstang!$D$8</f>
        <v>1</v>
      </c>
      <c r="AG33" s="7">
        <f>$I$5*SQRT(Stuurstang!$D$7^2-Stuurstang!$D$8^2)</f>
        <v>8.9442719099991592</v>
      </c>
      <c r="AH33" s="7"/>
      <c r="AI33" s="27"/>
      <c r="AJ33" s="26">
        <f>Stuurstang!$D$8</f>
        <v>1</v>
      </c>
      <c r="AK33" s="7">
        <f>$I$5*SQRT(Stuurstang!$D$7^2-Stuurstang!$D$8^2)</f>
        <v>8.9442719099991592</v>
      </c>
      <c r="AL33" s="7"/>
      <c r="AM33" s="27"/>
      <c r="AN33" s="7"/>
      <c r="AO33" s="7"/>
      <c r="AP33" s="7"/>
      <c r="AQ33" s="7"/>
    </row>
    <row r="34" spans="1:43" x14ac:dyDescent="0.2">
      <c r="A34" s="2"/>
      <c r="B34" s="6"/>
      <c r="C34" s="50" t="s">
        <v>1</v>
      </c>
      <c r="D34" s="51" t="s">
        <v>2</v>
      </c>
      <c r="E34" s="2"/>
      <c r="F34" s="6"/>
      <c r="G34" s="7"/>
      <c r="H34" s="10"/>
      <c r="I34" s="6">
        <f>G35*J38</f>
        <v>0</v>
      </c>
      <c r="J34" s="10">
        <f>H35*J38</f>
        <v>0</v>
      </c>
      <c r="K34" s="2"/>
      <c r="L34" s="26">
        <f>Stuurstang!$D$5</f>
        <v>80</v>
      </c>
      <c r="M34" s="7">
        <f>Stuurstang!$D$6</f>
        <v>2.5</v>
      </c>
      <c r="N34" s="7"/>
      <c r="O34" s="27"/>
      <c r="P34" s="26">
        <f>Stuurstang!$D$5</f>
        <v>80</v>
      </c>
      <c r="Q34" s="7">
        <f>Stuurstang!$D$6</f>
        <v>2.5</v>
      </c>
      <c r="R34" s="7"/>
      <c r="S34" s="27"/>
      <c r="T34" s="26">
        <f>Stuurstang!$D$5</f>
        <v>80</v>
      </c>
      <c r="U34" s="7">
        <f>Stuurstang!$D$6</f>
        <v>2.5</v>
      </c>
      <c r="V34" s="7"/>
      <c r="W34" s="27"/>
      <c r="X34" s="26">
        <f>Stuurstang!$D$5</f>
        <v>80</v>
      </c>
      <c r="Y34" s="7">
        <f>Stuurstang!$D$6</f>
        <v>2.5</v>
      </c>
      <c r="Z34" s="7"/>
      <c r="AA34" s="27"/>
      <c r="AB34" s="26">
        <f>Stuurstang!$D$5</f>
        <v>80</v>
      </c>
      <c r="AC34" s="7">
        <f>Stuurstang!$D$6</f>
        <v>2.5</v>
      </c>
      <c r="AD34" s="7"/>
      <c r="AE34" s="27"/>
      <c r="AF34" s="26">
        <f>Stuurstang!$D$5</f>
        <v>80</v>
      </c>
      <c r="AG34" s="7">
        <f>Stuurstang!$D$6</f>
        <v>2.5</v>
      </c>
      <c r="AH34" s="7"/>
      <c r="AI34" s="27"/>
      <c r="AJ34" s="26">
        <f>Stuurstang!$D$5</f>
        <v>80</v>
      </c>
      <c r="AK34" s="7">
        <f>Stuurstang!$D$6</f>
        <v>2.5</v>
      </c>
      <c r="AL34" s="7"/>
      <c r="AM34" s="27"/>
      <c r="AN34" s="7"/>
      <c r="AO34" s="7"/>
      <c r="AP34" s="7"/>
      <c r="AQ34" s="7"/>
    </row>
    <row r="35" spans="1:43" x14ac:dyDescent="0.2">
      <c r="A35" s="2"/>
      <c r="B35" s="6" t="s">
        <v>22</v>
      </c>
      <c r="C35" s="50">
        <f>D5</f>
        <v>0</v>
      </c>
      <c r="D35" s="51">
        <f>E5</f>
        <v>0</v>
      </c>
      <c r="E35" s="2"/>
      <c r="F35" s="33" t="s">
        <v>118</v>
      </c>
      <c r="G35" s="7">
        <f>-Stuurstang!$D13</f>
        <v>-45</v>
      </c>
      <c r="H35" s="10">
        <f>Stuurstang!$D$19</f>
        <v>-41.441978367157233</v>
      </c>
      <c r="I35" s="6">
        <f>G43</f>
        <v>0</v>
      </c>
      <c r="J35" s="10">
        <f>H43</f>
        <v>0</v>
      </c>
      <c r="L35" s="26">
        <f>Stuurstang!$D$5+Stuurstang!$D$10</f>
        <v>77</v>
      </c>
      <c r="M35" s="7">
        <f>Stuurstang!$D$6+$I$6*SQRT(Stuurstang!$D$9^2-Stuurstang!$D$10^2)</f>
        <v>-7.0393920141694561</v>
      </c>
      <c r="N35" s="7"/>
      <c r="O35" s="27"/>
      <c r="P35" s="26">
        <f>Stuurstang!$D$5+Stuurstang!$D$10</f>
        <v>77</v>
      </c>
      <c r="Q35" s="7">
        <f>Stuurstang!$D$6+$I$6*SQRT(Stuurstang!$D$9^2-Stuurstang!$D$10^2)</f>
        <v>-7.0393920141694561</v>
      </c>
      <c r="R35" s="7"/>
      <c r="S35" s="27"/>
      <c r="T35" s="26">
        <f>Stuurstang!$D$5+Stuurstang!$D$10</f>
        <v>77</v>
      </c>
      <c r="U35" s="7">
        <f>Stuurstang!$D$6+$I$6*SQRT(Stuurstang!$D$9^2-Stuurstang!$D$10^2)</f>
        <v>-7.0393920141694561</v>
      </c>
      <c r="V35" s="7"/>
      <c r="W35" s="27"/>
      <c r="X35" s="26">
        <f>Stuurstang!$D$5+Stuurstang!$D$10</f>
        <v>77</v>
      </c>
      <c r="Y35" s="7">
        <f>Stuurstang!$D$6+$I$6*SQRT(Stuurstang!$D$9^2-Stuurstang!$D$10^2)</f>
        <v>-7.0393920141694561</v>
      </c>
      <c r="Z35" s="7"/>
      <c r="AA35" s="27"/>
      <c r="AB35" s="26">
        <f>Stuurstang!$D$5+Stuurstang!$D$10</f>
        <v>77</v>
      </c>
      <c r="AC35" s="7">
        <f>Stuurstang!$D$6+$I$6*SQRT(Stuurstang!$D$9^2-Stuurstang!$D$10^2)</f>
        <v>-7.0393920141694561</v>
      </c>
      <c r="AD35" s="7"/>
      <c r="AE35" s="27"/>
      <c r="AF35" s="26">
        <f>Stuurstang!$D$5+Stuurstang!$D$10</f>
        <v>77</v>
      </c>
      <c r="AG35" s="7">
        <f>Stuurstang!$D$6+$I$6*SQRT(Stuurstang!$D$9^2-Stuurstang!$D$10^2)</f>
        <v>-7.0393920141694561</v>
      </c>
      <c r="AH35" s="7"/>
      <c r="AI35" s="27"/>
      <c r="AJ35" s="26">
        <f>Stuurstang!$D$5+Stuurstang!$D$10</f>
        <v>77</v>
      </c>
      <c r="AK35" s="7">
        <f>Stuurstang!$D$6+$I$6*SQRT(Stuurstang!$D$9^2-Stuurstang!$D$10^2)</f>
        <v>-7.0393920141694561</v>
      </c>
      <c r="AL35" s="7"/>
      <c r="AM35" s="27"/>
      <c r="AN35" s="7"/>
      <c r="AO35" s="7"/>
      <c r="AP35" s="7"/>
      <c r="AQ35" s="7"/>
    </row>
    <row r="36" spans="1:43" ht="13.5" thickBot="1" x14ac:dyDescent="0.25">
      <c r="A36" s="2"/>
      <c r="B36" s="6"/>
      <c r="C36" s="50">
        <f>D6</f>
        <v>1</v>
      </c>
      <c r="D36" s="51">
        <f>E6</f>
        <v>8.9442719099991592</v>
      </c>
      <c r="E36" s="2"/>
      <c r="F36" s="33" t="s">
        <v>126</v>
      </c>
      <c r="G36" s="7">
        <f>-Stuurstang!$D13*7/8</f>
        <v>-39.375</v>
      </c>
      <c r="H36" s="10">
        <f>IF(I6=-1,N29,L29)</f>
        <v>-35.901298771932254</v>
      </c>
      <c r="I36" s="8">
        <f>G51*J38</f>
        <v>0</v>
      </c>
      <c r="J36" s="11">
        <f>H51*J38</f>
        <v>0</v>
      </c>
      <c r="K36" s="2"/>
      <c r="L36" s="26">
        <f>L34+Stuurstang!$D$11*COS(RADIANS(Stuurstang!$D$12))</f>
        <v>112.8892417275068</v>
      </c>
      <c r="M36" s="7">
        <f>M34+Stuurstang!$D$11*SIN(RADIANS(Stuurstang!$D$12))</f>
        <v>-9.470705016398405</v>
      </c>
      <c r="N36" s="7"/>
      <c r="O36" s="27"/>
      <c r="P36" s="26">
        <f>P34+Stuurstang!$D$11*COS(RADIANS(Stuurstang!$D$12))</f>
        <v>112.8892417275068</v>
      </c>
      <c r="Q36" s="7">
        <f>Q34+Stuurstang!$D$11*SIN(RADIANS(Stuurstang!$D$12))</f>
        <v>-9.470705016398405</v>
      </c>
      <c r="R36" s="7"/>
      <c r="S36" s="27"/>
      <c r="T36" s="26">
        <f>T34+Stuurstang!$D$11*COS(RADIANS(Stuurstang!$D$12))</f>
        <v>112.8892417275068</v>
      </c>
      <c r="U36" s="7">
        <f>U34+Stuurstang!$D$11*SIN(RADIANS(Stuurstang!$D$12))</f>
        <v>-9.470705016398405</v>
      </c>
      <c r="V36" s="7"/>
      <c r="W36" s="27"/>
      <c r="X36" s="26">
        <f>X34+Stuurstang!$D$11*COS(RADIANS(Stuurstang!$D$12))</f>
        <v>112.8892417275068</v>
      </c>
      <c r="Y36" s="7">
        <f>Y34+Stuurstang!$D$11*SIN(RADIANS(Stuurstang!$D$12))</f>
        <v>-9.470705016398405</v>
      </c>
      <c r="Z36" s="7"/>
      <c r="AA36" s="27"/>
      <c r="AB36" s="26">
        <f>AB34+Stuurstang!$D$11*COS(RADIANS(Stuurstang!$D$12))</f>
        <v>112.8892417275068</v>
      </c>
      <c r="AC36" s="7">
        <f>AC34+Stuurstang!$D$11*SIN(RADIANS(Stuurstang!$D$12))</f>
        <v>-9.470705016398405</v>
      </c>
      <c r="AD36" s="7"/>
      <c r="AE36" s="27"/>
      <c r="AF36" s="26">
        <f>AF34+Stuurstang!$D$11*COS(RADIANS(Stuurstang!$D$12))</f>
        <v>112.8892417275068</v>
      </c>
      <c r="AG36" s="7">
        <f>AG34+Stuurstang!$D$11*SIN(RADIANS(Stuurstang!$D$12))</f>
        <v>-9.470705016398405</v>
      </c>
      <c r="AH36" s="7"/>
      <c r="AI36" s="27"/>
      <c r="AJ36" s="26">
        <f>AJ34+Stuurstang!$D$11*COS(RADIANS(Stuurstang!$D$12))</f>
        <v>112.8892417275068</v>
      </c>
      <c r="AK36" s="7">
        <f>AK34+Stuurstang!$D$11*SIN(RADIANS(Stuurstang!$D$12))</f>
        <v>-9.470705016398405</v>
      </c>
      <c r="AL36" s="7"/>
      <c r="AM36" s="27"/>
      <c r="AN36" s="7"/>
      <c r="AO36" s="7"/>
      <c r="AP36" s="7"/>
      <c r="AQ36" s="7"/>
    </row>
    <row r="37" spans="1:43" x14ac:dyDescent="0.2">
      <c r="A37" s="2"/>
      <c r="B37" s="6"/>
      <c r="C37" s="50">
        <f>D8</f>
        <v>77</v>
      </c>
      <c r="D37" s="51">
        <f>E8</f>
        <v>-7.0393920141694561</v>
      </c>
      <c r="E37" s="2"/>
      <c r="F37" s="33" t="s">
        <v>127</v>
      </c>
      <c r="G37" s="7">
        <f>-Stuurstang!$D13*6/8</f>
        <v>-33.75</v>
      </c>
      <c r="H37" s="10">
        <f>IF(I6=-1,R29,P29)</f>
        <v>-30.581123190109331</v>
      </c>
      <c r="I37" s="2"/>
      <c r="J37" s="2"/>
      <c r="K37" s="2"/>
      <c r="L37" s="26">
        <f>ACOS(Stuurstang!$D$8/Stuurstang!$D$7)</f>
        <v>1.4594553124539327</v>
      </c>
      <c r="M37" s="7"/>
      <c r="N37" s="7"/>
      <c r="O37" s="27"/>
      <c r="P37" s="26">
        <f>ACOS(Stuurstang!$D$8/Stuurstang!$D$7)</f>
        <v>1.4594553124539327</v>
      </c>
      <c r="Q37" s="7"/>
      <c r="R37" s="7"/>
      <c r="S37" s="27"/>
      <c r="T37" s="26">
        <f>ACOS(Stuurstang!$D$8/Stuurstang!$D$7)</f>
        <v>1.4594553124539327</v>
      </c>
      <c r="U37" s="7"/>
      <c r="V37" s="7"/>
      <c r="W37" s="27"/>
      <c r="X37" s="26">
        <f>ACOS(Stuurstang!$D$8/Stuurstang!$D$7)</f>
        <v>1.4594553124539327</v>
      </c>
      <c r="Y37" s="7"/>
      <c r="Z37" s="7"/>
      <c r="AA37" s="27"/>
      <c r="AB37" s="26">
        <f>ACOS(Stuurstang!$D$8/Stuurstang!$D$7)</f>
        <v>1.4594553124539327</v>
      </c>
      <c r="AC37" s="7"/>
      <c r="AD37" s="7"/>
      <c r="AE37" s="27"/>
      <c r="AF37" s="26">
        <f>ACOS(Stuurstang!$D$8/Stuurstang!$D$7)</f>
        <v>1.4594553124539327</v>
      </c>
      <c r="AG37" s="7"/>
      <c r="AH37" s="7"/>
      <c r="AI37" s="27"/>
      <c r="AJ37" s="26">
        <f>ACOS(Stuurstang!$D$8/Stuurstang!$D$7)</f>
        <v>1.4594553124539327</v>
      </c>
      <c r="AK37" s="7"/>
      <c r="AL37" s="7"/>
      <c r="AM37" s="27"/>
      <c r="AN37" s="7"/>
      <c r="AO37" s="7"/>
      <c r="AP37" s="7"/>
      <c r="AQ37" s="7"/>
    </row>
    <row r="38" spans="1:43" x14ac:dyDescent="0.2">
      <c r="A38" s="2"/>
      <c r="B38" s="6"/>
      <c r="C38" s="50">
        <f>D7</f>
        <v>80</v>
      </c>
      <c r="D38" s="51">
        <f>E7</f>
        <v>2.5</v>
      </c>
      <c r="E38" s="2"/>
      <c r="F38" s="33" t="s">
        <v>128</v>
      </c>
      <c r="G38" s="7">
        <f>-Stuurstang!$D13*5/8</f>
        <v>-28.125</v>
      </c>
      <c r="H38" s="10">
        <f>IF(I6=-1,V29,T29)</f>
        <v>-25.388400855436245</v>
      </c>
      <c r="I38" s="2"/>
      <c r="J38" s="2">
        <f>IF(J39=TRUE,1,0)</f>
        <v>0</v>
      </c>
      <c r="K38" s="2"/>
      <c r="L38" s="26">
        <f>PI()/2-ASIN(Stuurstang!$D$10/Stuurstang!$D$9)-$I$6*RADIANS(Stuurstang!$D$12)</f>
        <v>1.5264231304114282</v>
      </c>
      <c r="M38" s="7"/>
      <c r="N38" s="7"/>
      <c r="O38" s="27"/>
      <c r="P38" s="26">
        <f>PI()/2-ASIN(Stuurstang!$D$10/Stuurstang!$D$9)-$I$6*RADIANS(Stuurstang!$D$12)</f>
        <v>1.5264231304114282</v>
      </c>
      <c r="Q38" s="7"/>
      <c r="R38" s="7"/>
      <c r="S38" s="27"/>
      <c r="T38" s="26">
        <f>PI()/2-ASIN(Stuurstang!$D$10/Stuurstang!$D$9)-$I$6*RADIANS(Stuurstang!$D$12)</f>
        <v>1.5264231304114282</v>
      </c>
      <c r="U38" s="7"/>
      <c r="V38" s="7"/>
      <c r="W38" s="27"/>
      <c r="X38" s="26">
        <f>PI()/2-ASIN(Stuurstang!$D$10/Stuurstang!$D$9)-$I$6*RADIANS(Stuurstang!$D$12)</f>
        <v>1.5264231304114282</v>
      </c>
      <c r="Y38" s="7"/>
      <c r="Z38" s="7"/>
      <c r="AA38" s="27"/>
      <c r="AB38" s="26">
        <f>PI()/2-ASIN(Stuurstang!$D$10/Stuurstang!$D$9)-$I$6*RADIANS(Stuurstang!$D$12)</f>
        <v>1.5264231304114282</v>
      </c>
      <c r="AC38" s="7"/>
      <c r="AD38" s="7"/>
      <c r="AE38" s="27"/>
      <c r="AF38" s="26">
        <f>PI()/2-ASIN(Stuurstang!$D$10/Stuurstang!$D$9)-$I$6*RADIANS(Stuurstang!$D$12)</f>
        <v>1.5264231304114282</v>
      </c>
      <c r="AG38" s="7"/>
      <c r="AH38" s="7"/>
      <c r="AI38" s="27"/>
      <c r="AJ38" s="26">
        <f>PI()/2-ASIN(Stuurstang!$D$10/Stuurstang!$D$9)-$I$6*RADIANS(Stuurstang!$D$12)</f>
        <v>1.5264231304114282</v>
      </c>
      <c r="AK38" s="7"/>
      <c r="AL38" s="7"/>
      <c r="AM38" s="27"/>
      <c r="AN38" s="7"/>
      <c r="AO38" s="7"/>
      <c r="AP38" s="7"/>
      <c r="AQ38" s="7"/>
    </row>
    <row r="39" spans="1:43" x14ac:dyDescent="0.2">
      <c r="A39" s="2"/>
      <c r="B39" s="6"/>
      <c r="C39" s="50">
        <f>D9</f>
        <v>112.8892417275068</v>
      </c>
      <c r="D39" s="51">
        <f>E9</f>
        <v>-9.470705016398405</v>
      </c>
      <c r="E39" s="2"/>
      <c r="F39" s="33" t="s">
        <v>129</v>
      </c>
      <c r="G39" s="7">
        <f>-Stuurstang!$D13*4/8</f>
        <v>-22.5</v>
      </c>
      <c r="H39" s="10">
        <f>IF(I6=-1,Z29,X29)</f>
        <v>-20.268354614148819</v>
      </c>
      <c r="I39" s="2"/>
      <c r="J39" s="2" t="b">
        <v>0</v>
      </c>
      <c r="K39" s="2"/>
      <c r="L39" s="26">
        <f>SQRT((L33-L35)^2+(M33-M35)^2)</f>
        <v>77.662587598152882</v>
      </c>
      <c r="M39" s="7"/>
      <c r="N39" s="7"/>
      <c r="O39" s="27"/>
      <c r="P39" s="26">
        <f>SQRT((P33-P35)^2+(Q33-Q35)^2)</f>
        <v>77.662587598152882</v>
      </c>
      <c r="Q39" s="7"/>
      <c r="R39" s="7"/>
      <c r="S39" s="27"/>
      <c r="T39" s="26">
        <f>SQRT((T33-T35)^2+(U33-U35)^2)</f>
        <v>77.662587598152882</v>
      </c>
      <c r="U39" s="7"/>
      <c r="V39" s="7"/>
      <c r="W39" s="27"/>
      <c r="X39" s="26">
        <f>SQRT((X33-X35)^2+(Y33-Y35)^2)</f>
        <v>77.662587598152882</v>
      </c>
      <c r="Y39" s="7"/>
      <c r="Z39" s="7"/>
      <c r="AA39" s="27"/>
      <c r="AB39" s="26">
        <f>SQRT((AB33-AB35)^2+(AC33-AC35)^2)</f>
        <v>77.662587598152882</v>
      </c>
      <c r="AC39" s="7"/>
      <c r="AD39" s="7"/>
      <c r="AE39" s="27"/>
      <c r="AF39" s="26">
        <f>SQRT((AF33-AF35)^2+(AG33-AG35)^2)</f>
        <v>77.662587598152882</v>
      </c>
      <c r="AG39" s="7"/>
      <c r="AH39" s="7"/>
      <c r="AI39" s="27"/>
      <c r="AJ39" s="26">
        <f>SQRT((AJ33-AJ35)^2+(AK33-AK35)^2)</f>
        <v>77.662587598152882</v>
      </c>
      <c r="AK39" s="7"/>
      <c r="AL39" s="7"/>
      <c r="AM39" s="27"/>
      <c r="AN39" s="7"/>
      <c r="AO39" s="7"/>
      <c r="AP39" s="7"/>
      <c r="AQ39" s="7"/>
    </row>
    <row r="40" spans="1:43" x14ac:dyDescent="0.2">
      <c r="A40" s="2"/>
      <c r="B40" s="6" t="s">
        <v>23</v>
      </c>
      <c r="C40" s="50">
        <f>D18</f>
        <v>0</v>
      </c>
      <c r="D40" s="51">
        <f>E18</f>
        <v>0</v>
      </c>
      <c r="E40" s="2"/>
      <c r="F40" s="33" t="s">
        <v>130</v>
      </c>
      <c r="G40" s="7">
        <f>-Stuurstang!$D13*3/8</f>
        <v>-16.875</v>
      </c>
      <c r="H40" s="10">
        <f>IF(I6=-1,AD29,AB29)</f>
        <v>-15.186817988900742</v>
      </c>
      <c r="I40" s="2"/>
      <c r="J40" s="2"/>
      <c r="K40" s="2"/>
      <c r="L40" s="26">
        <f>ABS(RADIANS($G$42))</f>
        <v>9.8174770424681035E-2</v>
      </c>
      <c r="M40" s="7"/>
      <c r="N40" s="7"/>
      <c r="O40" s="27"/>
      <c r="P40" s="26">
        <f>ABS(RADIANS($G$41))</f>
        <v>0.19634954084936207</v>
      </c>
      <c r="Q40" s="7"/>
      <c r="R40" s="7"/>
      <c r="S40" s="27"/>
      <c r="T40" s="26">
        <f>ABS(RADIANS($G$40))</f>
        <v>0.2945243112740431</v>
      </c>
      <c r="U40" s="7"/>
      <c r="V40" s="7"/>
      <c r="W40" s="27"/>
      <c r="X40" s="26">
        <f>ABS(RADIANS($G$39))</f>
        <v>0.39269908169872414</v>
      </c>
      <c r="Y40" s="7"/>
      <c r="Z40" s="7"/>
      <c r="AA40" s="27"/>
      <c r="AB40" s="26">
        <f>ABS(RADIANS($G$38))</f>
        <v>0.49087385212340517</v>
      </c>
      <c r="AC40" s="7"/>
      <c r="AD40" s="7"/>
      <c r="AE40" s="27"/>
      <c r="AF40" s="26">
        <f>ABS(RADIANS($G$37))</f>
        <v>0.58904862254808621</v>
      </c>
      <c r="AG40" s="7"/>
      <c r="AH40" s="7"/>
      <c r="AI40" s="27"/>
      <c r="AJ40" s="26">
        <f>ABS(RADIANS($G$36))</f>
        <v>0.68722339297276724</v>
      </c>
      <c r="AK40" s="7"/>
      <c r="AL40" s="7"/>
      <c r="AM40" s="27"/>
      <c r="AN40" s="7"/>
      <c r="AO40" s="7"/>
      <c r="AP40" s="7"/>
      <c r="AQ40" s="7"/>
    </row>
    <row r="41" spans="1:43" x14ac:dyDescent="0.2">
      <c r="A41" s="2"/>
      <c r="B41" s="6"/>
      <c r="C41" s="50">
        <f>D19</f>
        <v>7.0316621015233061</v>
      </c>
      <c r="D41" s="51">
        <f>E19</f>
        <v>5.6174485391502111</v>
      </c>
      <c r="E41" s="2"/>
      <c r="F41" s="33" t="s">
        <v>131</v>
      </c>
      <c r="G41" s="7">
        <f>-Stuurstang!$D13*2/8</f>
        <v>-11.25</v>
      </c>
      <c r="H41" s="10">
        <f>IF(I6=-1,AH29,AF29)</f>
        <v>-10.122270024854512</v>
      </c>
      <c r="I41" s="2"/>
      <c r="J41" s="2"/>
      <c r="K41" s="2"/>
      <c r="L41" s="26"/>
      <c r="M41" s="7"/>
      <c r="N41" s="7"/>
      <c r="O41" s="27"/>
      <c r="P41" s="26"/>
      <c r="Q41" s="7"/>
      <c r="R41" s="7"/>
      <c r="S41" s="27"/>
      <c r="T41" s="26"/>
      <c r="U41" s="7"/>
      <c r="V41" s="7"/>
      <c r="W41" s="27"/>
      <c r="X41" s="26"/>
      <c r="Y41" s="7"/>
      <c r="Z41" s="7"/>
      <c r="AA41" s="27"/>
      <c r="AB41" s="26"/>
      <c r="AC41" s="7"/>
      <c r="AD41" s="7"/>
      <c r="AE41" s="27"/>
      <c r="AF41" s="26"/>
      <c r="AG41" s="7"/>
      <c r="AH41" s="7"/>
      <c r="AI41" s="27"/>
      <c r="AJ41" s="26"/>
      <c r="AK41" s="7"/>
      <c r="AL41" s="7"/>
      <c r="AM41" s="27"/>
      <c r="AN41" s="7"/>
      <c r="AO41" s="7"/>
      <c r="AP41" s="7"/>
      <c r="AQ41" s="7"/>
    </row>
    <row r="42" spans="1:43" x14ac:dyDescent="0.2">
      <c r="A42" s="2"/>
      <c r="B42" s="6"/>
      <c r="C42" s="50">
        <f>D26</f>
        <v>83.696450573060346</v>
      </c>
      <c r="D42" s="51">
        <f>E26</f>
        <v>-6.7917303641959954</v>
      </c>
      <c r="E42" s="2"/>
      <c r="F42" s="33" t="s">
        <v>132</v>
      </c>
      <c r="G42" s="7">
        <f>-Stuurstang!$D13*1/8</f>
        <v>-5.625</v>
      </c>
      <c r="H42" s="10">
        <f>IF(I6=-1,AL29,AJ29)</f>
        <v>-5.0619582754193182</v>
      </c>
      <c r="I42" s="2"/>
      <c r="J42" s="2"/>
      <c r="K42" s="2"/>
      <c r="L42" s="26"/>
      <c r="M42" s="7"/>
      <c r="N42" s="7"/>
      <c r="O42" s="27"/>
      <c r="P42" s="26"/>
      <c r="Q42" s="7"/>
      <c r="R42" s="7"/>
      <c r="S42" s="27"/>
      <c r="T42" s="26"/>
      <c r="U42" s="7"/>
      <c r="V42" s="7"/>
      <c r="W42" s="27"/>
      <c r="X42" s="26"/>
      <c r="Y42" s="7"/>
      <c r="Z42" s="7"/>
      <c r="AA42" s="27"/>
      <c r="AB42" s="26"/>
      <c r="AC42" s="7"/>
      <c r="AD42" s="7"/>
      <c r="AE42" s="27"/>
      <c r="AF42" s="26"/>
      <c r="AG42" s="7"/>
      <c r="AH42" s="7"/>
      <c r="AI42" s="27"/>
      <c r="AJ42" s="26"/>
      <c r="AK42" s="7"/>
      <c r="AL42" s="7"/>
      <c r="AM42" s="27"/>
      <c r="AN42" s="7"/>
      <c r="AO42" s="7"/>
      <c r="AP42" s="7"/>
      <c r="AQ42" s="7"/>
    </row>
    <row r="43" spans="1:43" x14ac:dyDescent="0.2">
      <c r="A43" s="2"/>
      <c r="B43" s="6"/>
      <c r="C43" s="50">
        <f>D7</f>
        <v>80</v>
      </c>
      <c r="D43" s="51">
        <f>E7</f>
        <v>2.5</v>
      </c>
      <c r="E43" s="2"/>
      <c r="F43" s="33" t="s">
        <v>133</v>
      </c>
      <c r="G43" s="7">
        <v>0</v>
      </c>
      <c r="H43" s="10">
        <v>0</v>
      </c>
      <c r="I43" s="2"/>
      <c r="J43" s="2"/>
      <c r="K43" s="2"/>
      <c r="L43" s="26">
        <f>L37-L40</f>
        <v>1.3612805420292515</v>
      </c>
      <c r="M43" s="7"/>
      <c r="N43" s="7">
        <f>L37+L40</f>
        <v>1.5576300828786138</v>
      </c>
      <c r="O43" s="27"/>
      <c r="P43" s="26">
        <f>P37-P40</f>
        <v>1.2631057716045706</v>
      </c>
      <c r="Q43" s="7"/>
      <c r="R43" s="7">
        <f>P37+P40</f>
        <v>1.6558048533032947</v>
      </c>
      <c r="S43" s="27"/>
      <c r="T43" s="26">
        <f>T37-T40</f>
        <v>1.1649310011798897</v>
      </c>
      <c r="U43" s="7"/>
      <c r="V43" s="7">
        <f>T37+T40</f>
        <v>1.7539796237279757</v>
      </c>
      <c r="W43" s="27"/>
      <c r="X43" s="26">
        <f>X37-X40</f>
        <v>1.0667562307552085</v>
      </c>
      <c r="Y43" s="7"/>
      <c r="Z43" s="7">
        <f>X37+X40</f>
        <v>1.8521543941526568</v>
      </c>
      <c r="AA43" s="27"/>
      <c r="AB43" s="26">
        <f>AB37-AB40</f>
        <v>0.9685814603305275</v>
      </c>
      <c r="AC43" s="7"/>
      <c r="AD43" s="7">
        <f>AB37+AB40</f>
        <v>1.950329164577338</v>
      </c>
      <c r="AE43" s="27"/>
      <c r="AF43" s="26">
        <f>AF37-AF40</f>
        <v>0.87040668990584646</v>
      </c>
      <c r="AG43" s="7"/>
      <c r="AH43" s="7">
        <f>AF37+AF40</f>
        <v>2.0485039350020191</v>
      </c>
      <c r="AI43" s="27"/>
      <c r="AJ43" s="26">
        <f>AJ37-AJ40</f>
        <v>0.77223191948116543</v>
      </c>
      <c r="AK43" s="7"/>
      <c r="AL43" s="7">
        <f>AJ37+AJ40</f>
        <v>2.1466787054266998</v>
      </c>
      <c r="AM43" s="27"/>
      <c r="AN43" s="7"/>
      <c r="AO43" s="7"/>
      <c r="AP43" s="7"/>
      <c r="AQ43" s="7"/>
    </row>
    <row r="44" spans="1:43" x14ac:dyDescent="0.2">
      <c r="A44" s="2"/>
      <c r="B44" s="6"/>
      <c r="C44" s="50">
        <f>D28</f>
        <v>113.06293813508387</v>
      </c>
      <c r="D44" s="51">
        <f>E28</f>
        <v>13.982252473953761</v>
      </c>
      <c r="E44" s="2"/>
      <c r="F44" s="33" t="s">
        <v>134</v>
      </c>
      <c r="G44" s="7">
        <f>Stuurstang!$D13*1/8</f>
        <v>5.625</v>
      </c>
      <c r="H44" s="10">
        <f>IF(I6=-1,L56,N56)</f>
        <v>5.0634366937808668</v>
      </c>
      <c r="I44" s="2"/>
      <c r="J44" s="2"/>
      <c r="K44" s="2"/>
      <c r="L44" s="26" t="s">
        <v>1</v>
      </c>
      <c r="M44" s="7" t="s">
        <v>2</v>
      </c>
      <c r="N44" s="7" t="s">
        <v>1</v>
      </c>
      <c r="O44" s="27" t="s">
        <v>2</v>
      </c>
      <c r="P44" s="26" t="s">
        <v>1</v>
      </c>
      <c r="Q44" s="7" t="s">
        <v>2</v>
      </c>
      <c r="R44" s="7" t="s">
        <v>1</v>
      </c>
      <c r="S44" s="27" t="s">
        <v>2</v>
      </c>
      <c r="T44" s="26" t="s">
        <v>1</v>
      </c>
      <c r="U44" s="7" t="s">
        <v>2</v>
      </c>
      <c r="V44" s="7" t="s">
        <v>1</v>
      </c>
      <c r="W44" s="27" t="s">
        <v>2</v>
      </c>
      <c r="X44" s="26" t="s">
        <v>1</v>
      </c>
      <c r="Y44" s="7" t="s">
        <v>2</v>
      </c>
      <c r="Z44" s="7" t="s">
        <v>1</v>
      </c>
      <c r="AA44" s="27" t="s">
        <v>2</v>
      </c>
      <c r="AB44" s="26" t="s">
        <v>1</v>
      </c>
      <c r="AC44" s="7" t="s">
        <v>2</v>
      </c>
      <c r="AD44" s="7" t="s">
        <v>1</v>
      </c>
      <c r="AE44" s="27" t="s">
        <v>2</v>
      </c>
      <c r="AF44" s="26" t="s">
        <v>1</v>
      </c>
      <c r="AG44" s="7" t="s">
        <v>2</v>
      </c>
      <c r="AH44" s="7" t="s">
        <v>1</v>
      </c>
      <c r="AI44" s="27" t="s">
        <v>2</v>
      </c>
      <c r="AJ44" s="26" t="s">
        <v>1</v>
      </c>
      <c r="AK44" s="7" t="s">
        <v>2</v>
      </c>
      <c r="AL44" s="7" t="s">
        <v>1</v>
      </c>
      <c r="AM44" s="27" t="s">
        <v>2</v>
      </c>
      <c r="AN44" s="7"/>
      <c r="AO44" s="7"/>
      <c r="AP44" s="7"/>
      <c r="AQ44" s="7"/>
    </row>
    <row r="45" spans="1:43" x14ac:dyDescent="0.2">
      <c r="A45" s="2"/>
      <c r="B45" s="6" t="s">
        <v>24</v>
      </c>
      <c r="C45" s="50">
        <f>I18</f>
        <v>0</v>
      </c>
      <c r="D45" s="51">
        <f>J18</f>
        <v>0</v>
      </c>
      <c r="E45" s="2"/>
      <c r="F45" s="33" t="s">
        <v>135</v>
      </c>
      <c r="G45" s="7">
        <f>Stuurstang!$D13*2/8</f>
        <v>11.25</v>
      </c>
      <c r="H45" s="10">
        <f>IF(I6=-1,P56,R56)</f>
        <v>10.122287116689222</v>
      </c>
      <c r="K45" s="2"/>
      <c r="L45" s="26">
        <f>L32</f>
        <v>0</v>
      </c>
      <c r="M45" s="7">
        <f>M32</f>
        <v>0</v>
      </c>
      <c r="N45" s="7">
        <f>L32</f>
        <v>0</v>
      </c>
      <c r="O45" s="27">
        <f>M32</f>
        <v>0</v>
      </c>
      <c r="P45" s="26">
        <f>P32</f>
        <v>0</v>
      </c>
      <c r="Q45" s="7">
        <f>Q32</f>
        <v>0</v>
      </c>
      <c r="R45" s="7">
        <f>P32</f>
        <v>0</v>
      </c>
      <c r="S45" s="27">
        <f>Q32</f>
        <v>0</v>
      </c>
      <c r="T45" s="26">
        <f>T32</f>
        <v>0</v>
      </c>
      <c r="U45" s="7">
        <f>U32</f>
        <v>0</v>
      </c>
      <c r="V45" s="7">
        <f>T32</f>
        <v>0</v>
      </c>
      <c r="W45" s="27">
        <f>U32</f>
        <v>0</v>
      </c>
      <c r="X45" s="26">
        <f>X32</f>
        <v>0</v>
      </c>
      <c r="Y45" s="7">
        <f>Y32</f>
        <v>0</v>
      </c>
      <c r="Z45" s="7">
        <f>X32</f>
        <v>0</v>
      </c>
      <c r="AA45" s="27">
        <f>Y32</f>
        <v>0</v>
      </c>
      <c r="AB45" s="26">
        <f>AB32</f>
        <v>0</v>
      </c>
      <c r="AC45" s="7">
        <f>AC32</f>
        <v>0</v>
      </c>
      <c r="AD45" s="7">
        <f>AB32</f>
        <v>0</v>
      </c>
      <c r="AE45" s="27">
        <f>AC32</f>
        <v>0</v>
      </c>
      <c r="AF45" s="26">
        <f>AF32</f>
        <v>0</v>
      </c>
      <c r="AG45" s="7">
        <f>AG32</f>
        <v>0</v>
      </c>
      <c r="AH45" s="7">
        <f>AF32</f>
        <v>0</v>
      </c>
      <c r="AI45" s="27">
        <f>AG32</f>
        <v>0</v>
      </c>
      <c r="AJ45" s="26">
        <f>AJ32</f>
        <v>0</v>
      </c>
      <c r="AK45" s="7">
        <f>AK32</f>
        <v>0</v>
      </c>
      <c r="AL45" s="7">
        <f>AJ32</f>
        <v>0</v>
      </c>
      <c r="AM45" s="27">
        <f>AK32</f>
        <v>0</v>
      </c>
      <c r="AN45" s="7"/>
      <c r="AO45" s="7"/>
      <c r="AP45" s="7"/>
      <c r="AQ45" s="7"/>
    </row>
    <row r="46" spans="1:43" x14ac:dyDescent="0.2">
      <c r="A46" s="2"/>
      <c r="B46" s="6"/>
      <c r="C46" s="50">
        <f>I19</f>
        <v>-5.6174485391502103</v>
      </c>
      <c r="D46" s="51">
        <f>J19</f>
        <v>7.031662101523307</v>
      </c>
      <c r="E46" s="2"/>
      <c r="F46" s="33" t="s">
        <v>136</v>
      </c>
      <c r="G46" s="7">
        <f>Stuurstang!$D13*3/8</f>
        <v>16.875</v>
      </c>
      <c r="H46" s="10">
        <f>IF(I6=-1,T56,V56)</f>
        <v>15.16428200934244</v>
      </c>
      <c r="I46" s="2"/>
      <c r="J46" s="2"/>
      <c r="K46" s="2"/>
      <c r="L46" s="26">
        <f>Stuurstang!$D$7*COS(L43)</f>
        <v>1.8718766816203329</v>
      </c>
      <c r="M46" s="7">
        <f>$I$5*Stuurstang!$D$7*SIN(L43)</f>
        <v>8.8031856557047607</v>
      </c>
      <c r="N46" s="7">
        <f>Stuurstang!$D$7*COS(N43)</f>
        <v>0.11849277172406181</v>
      </c>
      <c r="O46" s="27">
        <f>$I$5*Stuurstang!$D$7*SIN(N43)</f>
        <v>8.9992199363638807</v>
      </c>
      <c r="P46" s="26">
        <f>Stuurstang!$D$7*COS(P43)</f>
        <v>2.7257261675247775</v>
      </c>
      <c r="Q46" s="7">
        <f>$I$5*Stuurstang!$D$7*SIN(P43)</f>
        <v>8.5773199112351346</v>
      </c>
      <c r="R46" s="7">
        <f>Stuurstang!$D$7*COS(R43)</f>
        <v>-0.76415560671831551</v>
      </c>
      <c r="S46" s="27">
        <f>$I$5*Stuurstang!$D$7*SIN(R43)</f>
        <v>8.9675005552673905</v>
      </c>
      <c r="T46" s="26">
        <f>Stuurstang!$D$7*COS(T43)</f>
        <v>3.553325420402468</v>
      </c>
      <c r="U46" s="7">
        <f>$I$5*Stuurstang!$D$7*SIN(T43)</f>
        <v>8.2688498871802985</v>
      </c>
      <c r="V46" s="7">
        <f>Stuurstang!$D$7*COS(V43)</f>
        <v>-1.639444748938049</v>
      </c>
      <c r="W46" s="27">
        <f>$I$5*Stuurstang!$D$7*SIN(V43)</f>
        <v>8.8494192416892226</v>
      </c>
      <c r="X46" s="26">
        <f>Stuurstang!$D$7*COS(X43)</f>
        <v>4.3467042070364226</v>
      </c>
      <c r="Y46" s="7">
        <f>$I$5*Stuurstang!$D$7*SIN(X43)</f>
        <v>7.8807463184987672</v>
      </c>
      <c r="Z46" s="7">
        <f>Stuurstang!$D$7*COS(Z43)</f>
        <v>-2.4989451420138478</v>
      </c>
      <c r="AA46" s="27">
        <f>$I$5*Stuurstang!$D$7*SIN(Z43)</f>
        <v>8.6461131832289464</v>
      </c>
      <c r="AB46" s="26">
        <f>Stuurstang!$D$7*COS(AB43)</f>
        <v>5.0982218560063917</v>
      </c>
      <c r="AC46" s="7">
        <f>$I$5*Stuurstang!$D$7*SIN(AB43)</f>
        <v>7.4167468547159361</v>
      </c>
      <c r="AD46" s="7">
        <f>Stuurstang!$D$7*COS(AD43)</f>
        <v>-3.3343793273096822</v>
      </c>
      <c r="AE46" s="27">
        <f>$I$5*Stuurstang!$D$7*SIN(AD43)</f>
        <v>8.359540328367931</v>
      </c>
      <c r="AF46" s="26">
        <f>Stuurstang!$D$7*COS(AF43)</f>
        <v>5.800640841531461</v>
      </c>
      <c r="AG46" s="7">
        <f>$I$5*Stuurstang!$D$7*SIN(AF43)</f>
        <v>6.8813200643159433</v>
      </c>
      <c r="AH46" s="7">
        <f>Stuurstang!$D$7*COS(AH43)</f>
        <v>-4.1377016169263712</v>
      </c>
      <c r="AI46" s="27">
        <f>$I$5*Stuurstang!$D$7*SIN(AH43)</f>
        <v>7.9924605303551477</v>
      </c>
      <c r="AJ46" s="26">
        <f>Stuurstang!$D$7*COS(AJ43)</f>
        <v>6.4471964847997461</v>
      </c>
      <c r="AK46" s="7">
        <f>$I$5*Stuurstang!$D$7*SIN(AJ43)</f>
        <v>6.2796223999843974</v>
      </c>
      <c r="AL46" s="7">
        <f>Stuurstang!$D$7*COS(AL43)</f>
        <v>-4.9011755780742696</v>
      </c>
      <c r="AM46" s="27">
        <f>$I$5*Stuurstang!$D$7*SIN(AL43)</f>
        <v>7.5484089683116888</v>
      </c>
      <c r="AN46" s="7"/>
      <c r="AO46" s="7"/>
      <c r="AP46" s="7"/>
      <c r="AQ46" s="7"/>
    </row>
    <row r="47" spans="1:43" x14ac:dyDescent="0.2">
      <c r="A47" s="2"/>
      <c r="B47" s="6"/>
      <c r="C47" s="50">
        <f>I26</f>
        <v>71.437366883689876</v>
      </c>
      <c r="D47" s="51">
        <f>J26</f>
        <v>-2.6653958333770724</v>
      </c>
      <c r="E47" s="2"/>
      <c r="F47" s="33" t="s">
        <v>137</v>
      </c>
      <c r="G47" s="7">
        <f>Stuurstang!$D13*4/8</f>
        <v>22.5</v>
      </c>
      <c r="H47" s="10">
        <f>IF(I6=-1,X56,Z56)</f>
        <v>20.170280712601446</v>
      </c>
      <c r="I47" s="2"/>
      <c r="J47" s="2"/>
      <c r="K47" s="2"/>
      <c r="L47" s="26"/>
      <c r="M47" s="7">
        <f>Stuurstang!$D$6/(SIN(L43))</f>
        <v>2.5558929323976307</v>
      </c>
      <c r="N47" s="7"/>
      <c r="O47" s="27">
        <f>Stuurstang!$D$6/(SIN(N43))</f>
        <v>2.5002167031258362</v>
      </c>
      <c r="P47" s="26"/>
      <c r="Q47" s="7">
        <f>Stuurstang!$D$6/(SIN(P43))</f>
        <v>2.623197016416285</v>
      </c>
      <c r="R47" s="7"/>
      <c r="S47" s="27">
        <f>Stuurstang!$D$6/(SIN(R43))</f>
        <v>2.5090603408754513</v>
      </c>
      <c r="T47" s="26"/>
      <c r="U47" s="7">
        <f>Stuurstang!$D$6/(SIN(T43))</f>
        <v>2.7210555647990566</v>
      </c>
      <c r="V47" s="7"/>
      <c r="W47" s="27">
        <f>Stuurstang!$D$6/(SIN(V43))</f>
        <v>2.5425397289353739</v>
      </c>
      <c r="X47" s="26"/>
      <c r="Y47" s="7">
        <f>Stuurstang!$D$6/(SIN(X43))</f>
        <v>2.8550595452089249</v>
      </c>
      <c r="Z47" s="7"/>
      <c r="AA47" s="27">
        <f>Stuurstang!$D$6/(SIN(Z43))</f>
        <v>2.6023254060152414</v>
      </c>
      <c r="AB47" s="26"/>
      <c r="AC47" s="7">
        <f>Stuurstang!$D$6/(SIN(AB43))</f>
        <v>3.0336750654626132</v>
      </c>
      <c r="AD47" s="7"/>
      <c r="AE47" s="27">
        <f>Stuurstang!$D$6/(SIN(AD43))</f>
        <v>2.691535552935453</v>
      </c>
      <c r="AF47" s="26"/>
      <c r="AG47" s="7">
        <f>Stuurstang!$D$6/(SIN(AF43))</f>
        <v>3.2697214763598814</v>
      </c>
      <c r="AH47" s="7"/>
      <c r="AI47" s="27">
        <f>Stuurstang!$D$6/(SIN(AH43))</f>
        <v>2.8151530951633243</v>
      </c>
      <c r="AJ47" s="26"/>
      <c r="AK47" s="7">
        <f>Stuurstang!$D$6/(SIN(AJ43))</f>
        <v>3.5830179852941324</v>
      </c>
      <c r="AL47" s="7"/>
      <c r="AM47" s="27">
        <f>Stuurstang!$D$6/(SIN(AL43))</f>
        <v>2.9807605939814956</v>
      </c>
      <c r="AN47" s="7"/>
      <c r="AO47" s="7"/>
      <c r="AP47" s="7"/>
      <c r="AQ47" s="7"/>
    </row>
    <row r="48" spans="1:43" x14ac:dyDescent="0.2">
      <c r="A48" s="2"/>
      <c r="B48" s="6"/>
      <c r="C48" s="50">
        <f>D7</f>
        <v>80</v>
      </c>
      <c r="D48" s="51">
        <f>E7</f>
        <v>2.5</v>
      </c>
      <c r="E48" s="2"/>
      <c r="F48" s="33" t="s">
        <v>138</v>
      </c>
      <c r="G48" s="7">
        <f>Stuurstang!$D13*5/8</f>
        <v>28.125</v>
      </c>
      <c r="H48" s="10">
        <f>IF(I6=-1,AB56,AD56)</f>
        <v>25.113307524041915</v>
      </c>
      <c r="I48" s="2"/>
      <c r="J48" s="2"/>
      <c r="K48" s="2"/>
      <c r="L48" s="26"/>
      <c r="M48" s="7">
        <f>SQRT((L34-L46)^2+(M34-M46)^2)</f>
        <v>78.381973709917659</v>
      </c>
      <c r="N48" s="7"/>
      <c r="O48" s="27">
        <f>SQRT((L34-N46)^2+(M34-O46)^2)</f>
        <v>80.145461860559081</v>
      </c>
      <c r="P48" s="26"/>
      <c r="Q48" s="7">
        <f>SQRT((P34-P46)^2+(Q34-Q46)^2)</f>
        <v>77.51288417830844</v>
      </c>
      <c r="R48" s="7"/>
      <c r="S48" s="27">
        <f>SQRT((P34-R46)^2+(Q34-S46)^2)</f>
        <v>81.022696784904625</v>
      </c>
      <c r="T48" s="26"/>
      <c r="U48" s="7">
        <f>SQRT((T34-T46)^2+(U34-U46)^2)</f>
        <v>76.664031222599448</v>
      </c>
      <c r="V48" s="7"/>
      <c r="W48" s="27">
        <f>SQRT((T34-V46)^2+(U34-W46)^2)</f>
        <v>81.885982094749536</v>
      </c>
      <c r="X48" s="26"/>
      <c r="Y48" s="7">
        <f>SQRT((X34-X46)^2+(Y34-Y46)^2)</f>
        <v>75.844403849471178</v>
      </c>
      <c r="Z48" s="7"/>
      <c r="AA48" s="27">
        <f>SQRT((X34-Z46)^2+(Y34-AA46)^2)</f>
        <v>82.727568904241778</v>
      </c>
      <c r="AB48" s="26"/>
      <c r="AC48" s="7">
        <f>SQRT((AB34-AB46)^2+(AC34-AC46)^2)</f>
        <v>75.062978683005895</v>
      </c>
      <c r="AD48" s="7"/>
      <c r="AE48" s="27">
        <f>SQRT((AB34-AD46)^2+(AC34-AE46)^2)</f>
        <v>83.540128026761536</v>
      </c>
      <c r="AF48" s="26"/>
      <c r="AG48" s="7">
        <f>SQRT((AF34-AF46)^2+(AG34-AG46)^2)</f>
        <v>74.328600585732715</v>
      </c>
      <c r="AH48" s="7"/>
      <c r="AI48" s="27">
        <f>SQRT((AF34-AH46)^2+(AG34-AI46)^2)</f>
        <v>84.316783359284059</v>
      </c>
      <c r="AJ48" s="26"/>
      <c r="AK48" s="7">
        <f>SQRT((AJ34-AJ46)^2+(AK34-AK46)^2)</f>
        <v>73.649850308280463</v>
      </c>
      <c r="AL48" s="7"/>
      <c r="AM48" s="27">
        <f>SQRT((AJ34-AL46)^2+(AK34-AM46)^2)</f>
        <v>85.051137838657539</v>
      </c>
      <c r="AN48" s="7"/>
      <c r="AO48" s="7"/>
      <c r="AP48" s="7"/>
      <c r="AQ48" s="7"/>
    </row>
    <row r="49" spans="1:43" ht="13.5" thickBot="1" x14ac:dyDescent="0.25">
      <c r="A49" s="2"/>
      <c r="B49" s="8"/>
      <c r="C49" s="52">
        <f>I28</f>
        <v>96.731696305765013</v>
      </c>
      <c r="D49" s="53">
        <f>J28</f>
        <v>-28.241671046507044</v>
      </c>
      <c r="E49" s="2"/>
      <c r="F49" s="33" t="s">
        <v>139</v>
      </c>
      <c r="G49" s="7">
        <f>Stuurstang!$D13*6/8</f>
        <v>33.75</v>
      </c>
      <c r="H49" s="10">
        <f>IF(I6=-1,AF56,AH56)</f>
        <v>29.957351824545228</v>
      </c>
      <c r="I49" s="2"/>
      <c r="J49" s="2"/>
      <c r="K49" s="2"/>
      <c r="L49" s="26"/>
      <c r="M49" s="7">
        <f>ASIN((-$I$5*M47+Stuurstang!$D$7)*SIN(L43)/M48)</f>
        <v>8.0503191629047247E-2</v>
      </c>
      <c r="N49" s="7"/>
      <c r="O49" s="27">
        <f>ASIN((-$I$5*O47+Stuurstang!$D$7)*SIN(N43)/O48)</f>
        <v>8.1181942659210068E-2</v>
      </c>
      <c r="P49" s="26"/>
      <c r="Q49" s="7">
        <f>ASIN((-$I$5*Q47+Stuurstang!$D$7)*SIN(P43)/Q48)</f>
        <v>7.8484547002038052E-2</v>
      </c>
      <c r="R49" s="7"/>
      <c r="S49" s="27">
        <f>ASIN((-$I$5*S47+Stuurstang!$D$7)*SIN(R43)/S48)</f>
        <v>7.9908331982382882E-2</v>
      </c>
      <c r="T49" s="26"/>
      <c r="U49" s="7">
        <f>ASIN((-$I$5*U47+Stuurstang!$D$7)*SIN(T43)/U48)</f>
        <v>7.5319649941005415E-2</v>
      </c>
      <c r="V49" s="7"/>
      <c r="W49" s="27">
        <f>ASIN((-$I$5*W47+Stuurstang!$D$7)*SIN(V43)/W48)</f>
        <v>7.7617669247940071E-2</v>
      </c>
      <c r="X49" s="26"/>
      <c r="Y49" s="7">
        <f>ASIN((-$I$5*Y47+Stuurstang!$D$7)*SIN(X43)/Y48)</f>
        <v>7.100418703073301E-2</v>
      </c>
      <c r="Z49" s="7"/>
      <c r="AA49" s="27">
        <f>ASIN((-$I$5*AA47+Stuurstang!$D$7)*SIN(Z43)/AA48)</f>
        <v>7.4361924048847367E-2</v>
      </c>
      <c r="AB49" s="26"/>
      <c r="AC49" s="7">
        <f>ASIN((-$I$5*AC47+Stuurstang!$D$7)*SIN(AB43)/AC48)</f>
        <v>6.5548551356494067E-2</v>
      </c>
      <c r="AD49" s="7"/>
      <c r="AE49" s="27">
        <f>ASIN((-$I$5*AE47+Stuurstang!$D$7)*SIN(AD43)/AE48)</f>
        <v>7.0198067022744837E-2</v>
      </c>
      <c r="AF49" s="26"/>
      <c r="AG49" s="7">
        <f>ASIN((-$I$5*AG47+Stuurstang!$D$7)*SIN(AF43)/AG48)</f>
        <v>5.8979466691298534E-2</v>
      </c>
      <c r="AH49" s="7"/>
      <c r="AI49" s="27">
        <f>ASIN((-$I$5*AI47+Stuurstang!$D$7)*SIN(AH43)/AI48)</f>
        <v>6.5186931067557033E-2</v>
      </c>
      <c r="AJ49" s="26"/>
      <c r="AK49" s="7">
        <f>ASIN((-$I$5*AK47+Stuurstang!$D$7)*SIN(AJ43)/AK48)</f>
        <v>5.1341358715207279E-2</v>
      </c>
      <c r="AL49" s="7"/>
      <c r="AM49" s="27">
        <f>ASIN((-$I$5*AM47+Stuurstang!$D$7)*SIN(AL43)/AM48)</f>
        <v>5.939224695883806E-2</v>
      </c>
      <c r="AN49" s="7"/>
      <c r="AO49" s="7"/>
      <c r="AP49" s="7"/>
      <c r="AQ49" s="7"/>
    </row>
    <row r="50" spans="1:43" x14ac:dyDescent="0.2">
      <c r="A50" s="2"/>
      <c r="B50" s="2"/>
      <c r="C50" s="49"/>
      <c r="D50" s="49"/>
      <c r="E50" s="2"/>
      <c r="F50" s="33" t="s">
        <v>140</v>
      </c>
      <c r="G50" s="7">
        <f>Stuurstang!$D13*7/8</f>
        <v>39.375</v>
      </c>
      <c r="H50" s="10">
        <f>IF(I6=-1,AJ56,AL56)</f>
        <v>34.65603330611323</v>
      </c>
      <c r="I50" s="2"/>
      <c r="J50" s="2"/>
      <c r="K50" s="2"/>
      <c r="L50" s="26"/>
      <c r="M50" s="7">
        <f>ACOS((Stuurstang!$D$9^2+M48^2-L39^2)/(2*Stuurstang!$D$9*M48))</f>
        <v>1.4349805061813183</v>
      </c>
      <c r="N50" s="7"/>
      <c r="O50" s="27">
        <f>ACOS((Stuurstang!$D$9^2+O48^2-L39^2)/(2*Stuurstang!$D$9*O48))</f>
        <v>1.2589377769340679</v>
      </c>
      <c r="P50" s="26"/>
      <c r="Q50" s="7">
        <f>ACOS((Stuurstang!$D$9^2+Q48^2-P39^2)/(2*Stuurstang!$D$9*Q48))</f>
        <v>1.5212554577999675</v>
      </c>
      <c r="R50" s="7"/>
      <c r="S50" s="27">
        <f>ACOS((Stuurstang!$D$9^2+S48^2-P39^2)/(2*Stuurstang!$D$9*S48))</f>
        <v>1.1693450650522426</v>
      </c>
      <c r="T50" s="26"/>
      <c r="U50" s="7">
        <f>ACOS((Stuurstang!$D$9^2+U48^2-T39^2)/(2*Stuurstang!$D$9*U48))</f>
        <v>1.6060899724844715</v>
      </c>
      <c r="V50" s="7"/>
      <c r="W50" s="27">
        <f>ACOS((Stuurstang!$D$9^2+W48^2-T39^2)/(2*Stuurstang!$D$9*W48))</f>
        <v>1.0786613652200177</v>
      </c>
      <c r="X50" s="26"/>
      <c r="Y50" s="7">
        <f>ACOS((Stuurstang!$D$9^2+Y48^2-X39^2)/(2*Stuurstang!$D$9*Y48))</f>
        <v>1.6891456692966353</v>
      </c>
      <c r="Z50" s="7"/>
      <c r="AA50" s="27">
        <f>ACOS((Stuurstang!$D$9^2+AA48^2-X39^2)/(2*Stuurstang!$D$9*AA48))</f>
        <v>0.98671607484966439</v>
      </c>
      <c r="AB50" s="26"/>
      <c r="AC50" s="7">
        <f>ACOS((Stuurstang!$D$9^2+AC48^2-AB39^2)/(2*Stuurstang!$D$9*AC48))</f>
        <v>1.7699621264963894</v>
      </c>
      <c r="AD50" s="7"/>
      <c r="AE50" s="27">
        <f>ACOS((Stuurstang!$D$9^2+AE48^2-AB39^2)/(2*Stuurstang!$D$9*AE48))</f>
        <v>0.89319055305873629</v>
      </c>
      <c r="AF50" s="26"/>
      <c r="AG50" s="7">
        <f>ACOS((Stuurstang!$D$9^2+AG48^2-AF39^2)/(2*Stuurstang!$D$9*AG48))</f>
        <v>1.8479375639874425</v>
      </c>
      <c r="AH50" s="7"/>
      <c r="AI50" s="27">
        <f>ACOS((Stuurstang!$D$9^2+AI48^2-AF39^2)/(2*Stuurstang!$D$9*AI48))</f>
        <v>0.7975493152216564</v>
      </c>
      <c r="AJ50" s="26"/>
      <c r="AK50" s="7">
        <f>ACOS((Stuurstang!$D$9^2+AK48^2-AJ39^2)/(2*Stuurstang!$D$9*AK48))</f>
        <v>1.9223069183671979</v>
      </c>
      <c r="AL50" s="7"/>
      <c r="AM50" s="27">
        <f>ACOS((Stuurstang!$D$9^2+AM48^2-AJ39^2)/(2*Stuurstang!$D$9*AM48))</f>
        <v>0.69890005042592263</v>
      </c>
      <c r="AN50" s="7"/>
      <c r="AO50" s="7"/>
      <c r="AP50" s="7"/>
      <c r="AQ50" s="7"/>
    </row>
    <row r="51" spans="1:43" ht="13.5" thickBot="1" x14ac:dyDescent="0.25">
      <c r="A51" s="2"/>
      <c r="B51" s="2"/>
      <c r="C51" s="54">
        <f>MIN(C35:C49)</f>
        <v>-5.6174485391502103</v>
      </c>
      <c r="D51" s="54">
        <f>MIN(D35:D49)</f>
        <v>-28.241671046507044</v>
      </c>
      <c r="E51" s="2"/>
      <c r="F51" s="34" t="s">
        <v>141</v>
      </c>
      <c r="G51" s="9">
        <f>Stuurstang!$D13</f>
        <v>45</v>
      </c>
      <c r="H51" s="11">
        <f>Stuurstang!$D$18</f>
        <v>39.151331842076608</v>
      </c>
      <c r="I51" s="2"/>
      <c r="J51" s="2"/>
      <c r="K51" s="2"/>
      <c r="L51" s="26"/>
      <c r="M51" s="7">
        <f>$I$6*PI()-$I$6*M50-$I$5*M49</f>
        <v>-1.7871153390375221</v>
      </c>
      <c r="N51" s="7"/>
      <c r="O51" s="27">
        <f>$I$6*PI()-$I$6*O50-$I$5*O49</f>
        <v>-1.9638368193149351</v>
      </c>
      <c r="P51" s="26"/>
      <c r="Q51" s="7">
        <f>$I$6*PI()-$I$6*Q50-$I$5*Q49</f>
        <v>-1.6988217427918637</v>
      </c>
      <c r="R51" s="7"/>
      <c r="S51" s="27">
        <f>$I$6*PI()-$I$6*S50-$I$5*S49</f>
        <v>-2.0521559205199336</v>
      </c>
      <c r="T51" s="26"/>
      <c r="U51" s="7">
        <f>$I$6*PI()-$I$6*U50-$I$5*U49</f>
        <v>-1.610822331046327</v>
      </c>
      <c r="V51" s="7"/>
      <c r="W51" s="27">
        <f>$I$6*PI()-$I$6*W50-$I$5*W49</f>
        <v>-2.1405489576177157</v>
      </c>
      <c r="X51" s="26"/>
      <c r="Y51" s="7">
        <f>$I$6*PI()-$I$6*Y50-$I$5*Y49</f>
        <v>-1.5234511713238907</v>
      </c>
      <c r="Z51" s="7"/>
      <c r="AA51" s="27">
        <f>$I$6*PI()-$I$6*AA50-$I$5*AA49</f>
        <v>-2.2292385027889758</v>
      </c>
      <c r="AB51" s="26"/>
      <c r="AC51" s="7">
        <f>$I$6*PI()-$I$6*AC50-$I$5*AC49</f>
        <v>-1.4371790784498977</v>
      </c>
      <c r="AD51" s="7"/>
      <c r="AE51" s="27">
        <f>$I$6*PI()-$I$6*AE50-$I$5*AE49</f>
        <v>-2.3186001675538015</v>
      </c>
      <c r="AF51" s="26"/>
      <c r="AG51" s="7">
        <f>$I$6*PI()-$I$6*AG50-$I$5*AG49</f>
        <v>-1.3526345562936493</v>
      </c>
      <c r="AH51" s="7"/>
      <c r="AI51" s="27">
        <f>$I$6*PI()-$I$6*AI50-$I$5*AI49</f>
        <v>-2.4092302694356937</v>
      </c>
      <c r="AJ51" s="26"/>
      <c r="AK51" s="7">
        <f>$I$6*PI()-$I$6*AK50-$I$5*AK49</f>
        <v>-1.2706270939378024</v>
      </c>
      <c r="AL51" s="7"/>
      <c r="AM51" s="27">
        <f>$I$6*PI()-$I$6*AM50-$I$5*AM49</f>
        <v>-2.5020848501227086</v>
      </c>
      <c r="AN51" s="7"/>
      <c r="AO51" s="7"/>
      <c r="AP51" s="7"/>
      <c r="AQ51" s="7"/>
    </row>
    <row r="52" spans="1:43" x14ac:dyDescent="0.2">
      <c r="A52" s="2"/>
      <c r="B52" s="2"/>
      <c r="C52" s="54">
        <f>MAX(C35:C49)</f>
        <v>113.06293813508387</v>
      </c>
      <c r="D52" s="54">
        <f>MAX(D35:D49)</f>
        <v>13.982252473953761</v>
      </c>
      <c r="E52" s="2"/>
      <c r="F52" s="2"/>
      <c r="G52" s="2"/>
      <c r="H52" s="2"/>
      <c r="I52" s="2"/>
      <c r="J52" s="2"/>
      <c r="K52" s="2"/>
      <c r="L52" s="26" t="s">
        <v>1</v>
      </c>
      <c r="M52" s="7" t="s">
        <v>2</v>
      </c>
      <c r="N52" s="7" t="s">
        <v>1</v>
      </c>
      <c r="O52" s="27" t="s">
        <v>2</v>
      </c>
      <c r="P52" s="26" t="s">
        <v>1</v>
      </c>
      <c r="Q52" s="7" t="s">
        <v>2</v>
      </c>
      <c r="R52" s="7" t="s">
        <v>1</v>
      </c>
      <c r="S52" s="27" t="s">
        <v>2</v>
      </c>
      <c r="T52" s="26" t="s">
        <v>1</v>
      </c>
      <c r="U52" s="7" t="s">
        <v>2</v>
      </c>
      <c r="V52" s="7" t="s">
        <v>1</v>
      </c>
      <c r="W52" s="27" t="s">
        <v>2</v>
      </c>
      <c r="X52" s="26" t="s">
        <v>1</v>
      </c>
      <c r="Y52" s="7" t="s">
        <v>2</v>
      </c>
      <c r="Z52" s="7" t="s">
        <v>1</v>
      </c>
      <c r="AA52" s="27" t="s">
        <v>2</v>
      </c>
      <c r="AB52" s="26" t="s">
        <v>1</v>
      </c>
      <c r="AC52" s="7" t="s">
        <v>2</v>
      </c>
      <c r="AD52" s="7" t="s">
        <v>1</v>
      </c>
      <c r="AE52" s="27" t="s">
        <v>2</v>
      </c>
      <c r="AF52" s="26" t="s">
        <v>1</v>
      </c>
      <c r="AG52" s="7" t="s">
        <v>2</v>
      </c>
      <c r="AH52" s="7" t="s">
        <v>1</v>
      </c>
      <c r="AI52" s="27" t="s">
        <v>2</v>
      </c>
      <c r="AJ52" s="26" t="s">
        <v>1</v>
      </c>
      <c r="AK52" s="7" t="s">
        <v>2</v>
      </c>
      <c r="AL52" s="7" t="s">
        <v>1</v>
      </c>
      <c r="AM52" s="27" t="s">
        <v>2</v>
      </c>
      <c r="AN52" s="7"/>
      <c r="AO52" s="7"/>
      <c r="AP52" s="7"/>
      <c r="AQ52" s="7"/>
    </row>
    <row r="53" spans="1:43" x14ac:dyDescent="0.2">
      <c r="B53" s="60"/>
      <c r="C53" s="56">
        <f>MAX(-D51,D52)*2.5*2</f>
        <v>141.20835523253521</v>
      </c>
      <c r="D53" s="57">
        <f>C52/2.5/2</f>
        <v>22.612587627016772</v>
      </c>
      <c r="L53" s="26">
        <f>L34+Stuurstang!$D$9*COS(M51)</f>
        <v>77.853641138383509</v>
      </c>
      <c r="M53" s="7">
        <f>M34+Stuurstang!$D$9*SIN(M51)</f>
        <v>-7.2669413655023227</v>
      </c>
      <c r="N53" s="7">
        <f>L34+Stuurstang!$D$9*COS(O51)</f>
        <v>76.170011674740962</v>
      </c>
      <c r="O53" s="27">
        <f>M34+Stuurstang!$D$9*SIN(O51)</f>
        <v>-6.7374882640455596</v>
      </c>
      <c r="P53" s="26">
        <f>P34+Stuurstang!$D$9*COS(Q51)</f>
        <v>78.723240310818454</v>
      </c>
      <c r="Q53" s="7">
        <f>Q34+Stuurstang!$D$9*SIN(Q51)</f>
        <v>-7.4181593401236015</v>
      </c>
      <c r="R53" s="7">
        <f>P34+Stuurstang!$D$9*COS(S51)</f>
        <v>75.370152988971043</v>
      </c>
      <c r="S53" s="27">
        <f>Q34+Stuurstang!$D$9*SIN(S51)</f>
        <v>-6.3636627110053272</v>
      </c>
      <c r="T53" s="26">
        <f>T34+Stuurstang!$D$9*COS(U51)</f>
        <v>79.599846823760871</v>
      </c>
      <c r="U53" s="7">
        <f>U34+Stuurstang!$D$9*SIN(U51)</f>
        <v>-7.4919906643043728</v>
      </c>
      <c r="V53" s="7">
        <f>T34+Stuurstang!$D$9*COS(W51)</f>
        <v>74.605762281258507</v>
      </c>
      <c r="W53" s="27">
        <f>U34+Stuurstang!$D$9*SIN(W51)</f>
        <v>-5.9203443773818734</v>
      </c>
      <c r="X53" s="26">
        <f>X34+Stuurstang!$D$9*COS(Y51)</f>
        <v>80.47327469589311</v>
      </c>
      <c r="Y53" s="7">
        <f>Y34+Stuurstang!$D$9*SIN(Y51)</f>
        <v>-7.488794274697387</v>
      </c>
      <c r="Z53" s="7">
        <f>X34+Stuurstang!$D$9*COS(AA51)</f>
        <v>73.88114560352146</v>
      </c>
      <c r="AA53" s="27">
        <f>Y34+Stuurstang!$D$9*SIN(AA51)</f>
        <v>-5.4094640067892898</v>
      </c>
      <c r="AB53" s="26">
        <f>AB34+Stuurstang!$D$9*COS(AC51)</f>
        <v>81.332200123198504</v>
      </c>
      <c r="AC53" s="7">
        <f>AC34+Stuurstang!$D$9*SIN(AC51)</f>
        <v>-7.4108648881795318</v>
      </c>
      <c r="AD53" s="7">
        <f>AB34+Stuurstang!$D$9*COS(AE51)</f>
        <v>73.199697877664789</v>
      </c>
      <c r="AE53" s="27">
        <f>AC34+Stuurstang!$D$9*SIN(AE51)</f>
        <v>-4.8318409042315702</v>
      </c>
      <c r="AF53" s="26">
        <f>AF34+Stuurstang!$D$9*COS(AG51)</f>
        <v>82.164353319036437</v>
      </c>
      <c r="AG53" s="7">
        <f>AG34+Stuurstang!$D$9*SIN(AG51)</f>
        <v>-7.2629695641426615</v>
      </c>
      <c r="AH53" s="7">
        <f>AF34+Stuurstang!$D$9*COS(AI51)</f>
        <v>72.564030778039907</v>
      </c>
      <c r="AI53" s="27">
        <f>AG34+Stuurstang!$D$9*SIN(AI51)</f>
        <v>-4.1862816071462481</v>
      </c>
      <c r="AJ53" s="26">
        <f>AJ34+Stuurstang!$D$9*COS(AK51)</f>
        <v>82.956818767522947</v>
      </c>
      <c r="AK53" s="7">
        <f>AK34+Stuurstang!$D$9*SIN(AK51)</f>
        <v>-7.052864637166385</v>
      </c>
      <c r="AL53" s="7">
        <f>AJ34+Stuurstang!$D$9*COS(AM51)</f>
        <v>71.976104017586891</v>
      </c>
      <c r="AM53" s="27">
        <f>AK34+Stuurstang!$D$9*SIN(AM51)</f>
        <v>-3.4680058028972125</v>
      </c>
      <c r="AN53" s="7"/>
      <c r="AO53" s="7"/>
      <c r="AP53" s="7"/>
      <c r="AQ53" s="7"/>
    </row>
    <row r="54" spans="1:43" x14ac:dyDescent="0.2">
      <c r="B54" s="60"/>
      <c r="C54" s="58">
        <v>0</v>
      </c>
      <c r="D54" s="55">
        <f>-D53</f>
        <v>-22.612587627016772</v>
      </c>
      <c r="L54" s="26">
        <f>M51-$I$6*L38</f>
        <v>-0.26069220862609388</v>
      </c>
      <c r="M54" s="7"/>
      <c r="N54" s="7">
        <f>O51-$I$6*L38</f>
        <v>-0.43741368890350696</v>
      </c>
      <c r="O54" s="27"/>
      <c r="P54" s="26">
        <f>Q51-$I$6*P38</f>
        <v>-0.17239861238043552</v>
      </c>
      <c r="Q54" s="7"/>
      <c r="R54" s="7">
        <f>S51-$I$6*P38</f>
        <v>-0.52573279010850538</v>
      </c>
      <c r="S54" s="27"/>
      <c r="T54" s="26">
        <f>U51-$I$6*T38</f>
        <v>-8.4399200634898808E-2</v>
      </c>
      <c r="U54" s="7"/>
      <c r="V54" s="7">
        <f>W51-$I$6*T38</f>
        <v>-0.6141258272062875</v>
      </c>
      <c r="W54" s="27"/>
      <c r="X54" s="26">
        <f>Y51-$I$6*X38</f>
        <v>2.9719590875374458E-3</v>
      </c>
      <c r="Y54" s="7"/>
      <c r="Z54" s="7">
        <f>AA51-$I$6*X38</f>
        <v>-0.70281537237754765</v>
      </c>
      <c r="AA54" s="27"/>
      <c r="AB54" s="26">
        <f>AC51-$I$6*AB38</f>
        <v>8.9244051961530513E-2</v>
      </c>
      <c r="AC54" s="7"/>
      <c r="AD54" s="7">
        <f>AE51-$I$6*AB38</f>
        <v>-0.79217703714237331</v>
      </c>
      <c r="AE54" s="27"/>
      <c r="AF54" s="26">
        <f>AG51-$I$6*AF38</f>
        <v>0.17378857411777893</v>
      </c>
      <c r="AG54" s="7"/>
      <c r="AH54" s="7">
        <f>AI51-$I$6*AF38</f>
        <v>-0.88280713902426555</v>
      </c>
      <c r="AI54" s="27"/>
      <c r="AJ54" s="26">
        <f>AK51-$I$6*AJ38</f>
        <v>0.25579603647362581</v>
      </c>
      <c r="AK54" s="7"/>
      <c r="AL54" s="7">
        <f>AM51-$I$6*AJ38</f>
        <v>-0.97566171971128046</v>
      </c>
      <c r="AM54" s="27"/>
      <c r="AN54" s="7"/>
      <c r="AO54" s="7"/>
      <c r="AP54" s="7"/>
      <c r="AQ54" s="7"/>
    </row>
    <row r="55" spans="1:43" x14ac:dyDescent="0.2">
      <c r="B55" s="60"/>
      <c r="D55" s="59"/>
      <c r="L55" s="26">
        <f>L34+Stuurstang!$D$11*COS(L54)</f>
        <v>113.81741276371113</v>
      </c>
      <c r="M55" s="7">
        <f>M34+Stuurstang!$D$11*SIN(L54)</f>
        <v>-6.5212301804569393</v>
      </c>
      <c r="N55" s="7">
        <f>L34+Stuurstang!$D$11*COS(N54)</f>
        <v>111.70475868049809</v>
      </c>
      <c r="O55" s="27">
        <f>M34+Stuurstang!$D$11*SIN(N54)</f>
        <v>-12.325932584879141</v>
      </c>
      <c r="P55" s="26">
        <f>P34+Stuurstang!$D$11*COS(P54)</f>
        <v>114.48116452270769</v>
      </c>
      <c r="Q55" s="7">
        <f>Q34+Stuurstang!$D$11*SIN(P54)</f>
        <v>-3.5041063579824137</v>
      </c>
      <c r="R55" s="7">
        <f>P34+Stuurstang!$D$11*COS(R54)</f>
        <v>110.2734748887318</v>
      </c>
      <c r="S55" s="27">
        <f>Q34+Stuurstang!$D$11*SIN(R54)</f>
        <v>-15.06464398048891</v>
      </c>
      <c r="T55" s="26">
        <f>T34+Stuurstang!$D$11*COS(T54)</f>
        <v>114.87541754006821</v>
      </c>
      <c r="U55" s="7">
        <f>U34+Stuurstang!$D$11*SIN(T54)</f>
        <v>-0.45046630312934965</v>
      </c>
      <c r="V55" s="7">
        <f>T34+Stuurstang!$D$11*COS(V54)</f>
        <v>108.6047123669898</v>
      </c>
      <c r="W55" s="27">
        <f>U34+Stuurstang!$D$11*SIN(V54)</f>
        <v>-17.668550528032014</v>
      </c>
      <c r="X55" s="26">
        <f>X34+Stuurstang!$D$11*COS(X54)</f>
        <v>114.99984543064946</v>
      </c>
      <c r="Y55" s="7">
        <f>Y34+Stuurstang!$D$11*SIN(X54)</f>
        <v>2.6040184149391701</v>
      </c>
      <c r="Z55" s="7">
        <f>X34+Stuurstang!$D$11*COS(Z54)</f>
        <v>106.70589060328493</v>
      </c>
      <c r="AA55" s="27">
        <f>Y34+Stuurstang!$D$11*SIN(Z54)</f>
        <v>-20.122895638829661</v>
      </c>
      <c r="AB55" s="26">
        <f>AB34+Stuurstang!$D$11*COS(AB54)</f>
        <v>114.86071371811718</v>
      </c>
      <c r="AC55" s="7">
        <f>AC34+Stuurstang!$D$11*SIN(AB54)</f>
        <v>5.6193972275867843</v>
      </c>
      <c r="AD55" s="7">
        <f>AB34+Stuurstang!$D$11*COS(AD54)</f>
        <v>104.58040142187143</v>
      </c>
      <c r="AE55" s="27">
        <f>AC34+Stuurstang!$D$11*SIN(AD54)</f>
        <v>-22.415935983616208</v>
      </c>
      <c r="AF55" s="26">
        <f>AF34+Stuurstang!$D$11*COS(AF54)</f>
        <v>114.47278573860062</v>
      </c>
      <c r="AG55" s="7">
        <f>AG34+Stuurstang!$D$11*SIN(AF54)</f>
        <v>8.5520280419487289</v>
      </c>
      <c r="AH55" s="7">
        <f>AF34+Stuurstang!$D$11*COS(AH54)</f>
        <v>102.22447729153211</v>
      </c>
      <c r="AI55" s="27">
        <f>AG34+Stuurstang!$D$11*SIN(AH54)</f>
        <v>-24.538354408472681</v>
      </c>
      <c r="AJ55" s="26">
        <f>AJ34+Stuurstang!$D$11*COS(AJ54)</f>
        <v>113.86117674004284</v>
      </c>
      <c r="AK55" s="7">
        <f>AK34+Stuurstang!$D$11*SIN(AJ54)</f>
        <v>11.355546836846488</v>
      </c>
      <c r="AL55" s="7">
        <f>AJ34+Stuurstang!$D$11*COS(AL54)</f>
        <v>99.621707842614143</v>
      </c>
      <c r="AM55" s="27">
        <f>AK34+Stuurstang!$D$11*SIN(AL54)</f>
        <v>-26.482556501093807</v>
      </c>
      <c r="AN55" s="7"/>
      <c r="AO55" s="7"/>
      <c r="AP55" s="7"/>
      <c r="AQ55" s="7"/>
    </row>
    <row r="56" spans="1:43" x14ac:dyDescent="0.2">
      <c r="B56" s="60"/>
      <c r="D56" s="59"/>
      <c r="L56" s="26">
        <f>-Stuurstang!$D$12+DEGREES(L54)</f>
        <v>5.0634366937808668</v>
      </c>
      <c r="M56" s="7"/>
      <c r="N56" s="7">
        <f>-Stuurstang!$D$12+DEGREES(N54)</f>
        <v>-5.0619582754193182</v>
      </c>
      <c r="O56" s="27"/>
      <c r="P56" s="26">
        <f>-Stuurstang!$D$12+DEGREES(P54)</f>
        <v>10.122287116689222</v>
      </c>
      <c r="Q56" s="7"/>
      <c r="R56" s="7">
        <f>-Stuurstang!$D$12+DEGREES(R54)</f>
        <v>-10.122270024854512</v>
      </c>
      <c r="S56" s="27"/>
      <c r="T56" s="26">
        <f>-Stuurstang!$D$12+DEGREES(T54)</f>
        <v>15.16428200934244</v>
      </c>
      <c r="U56" s="7"/>
      <c r="V56" s="7">
        <f>-Stuurstang!$D$12+DEGREES(V54)</f>
        <v>-15.186817988900742</v>
      </c>
      <c r="W56" s="27"/>
      <c r="X56" s="26">
        <f>-Stuurstang!$D$12+DEGREES(X54)</f>
        <v>20.170280712601446</v>
      </c>
      <c r="Y56" s="7"/>
      <c r="Z56" s="7">
        <f>-Stuurstang!$D$12+DEGREES(Z54)</f>
        <v>-20.268354614148819</v>
      </c>
      <c r="AA56" s="27"/>
      <c r="AB56" s="26">
        <f>-Stuurstang!$D$12+DEGREES(AB54)</f>
        <v>25.113307524041915</v>
      </c>
      <c r="AC56" s="7"/>
      <c r="AD56" s="7">
        <f>-Stuurstang!$D$12+DEGREES(AD54)</f>
        <v>-25.388400855436245</v>
      </c>
      <c r="AE56" s="27"/>
      <c r="AF56" s="26">
        <f>-Stuurstang!$D$12+DEGREES(AF54)</f>
        <v>29.957351824545228</v>
      </c>
      <c r="AG56" s="7"/>
      <c r="AH56" s="7">
        <f>-Stuurstang!$D$12+DEGREES(AH54)</f>
        <v>-30.581123190109331</v>
      </c>
      <c r="AI56" s="27"/>
      <c r="AJ56" s="26">
        <f>-Stuurstang!$D$12+DEGREES(AJ54)</f>
        <v>34.65603330611323</v>
      </c>
      <c r="AK56" s="7"/>
      <c r="AL56" s="7">
        <f>-Stuurstang!$D$12+DEGREES(AL54)</f>
        <v>-35.901298771932254</v>
      </c>
      <c r="AM56" s="27"/>
      <c r="AN56" s="7"/>
      <c r="AO56" s="7"/>
      <c r="AP56" s="7"/>
      <c r="AQ56" s="7"/>
    </row>
    <row r="57" spans="1:43" x14ac:dyDescent="0.2">
      <c r="L57" s="28">
        <f>SQRT((L36-L55)^2+(M36-M55)^2)</f>
        <v>3.0920710341614988</v>
      </c>
      <c r="M57" s="29"/>
      <c r="N57" s="29">
        <f>SQRT((L36-N55)^2+(M36-O55)^2)</f>
        <v>3.0911688010303573</v>
      </c>
      <c r="O57" s="30"/>
      <c r="P57" s="28">
        <f>SQRT((P36-P55)^2+(Q36-Q55)^2)</f>
        <v>6.1753151932910857</v>
      </c>
      <c r="Q57" s="29"/>
      <c r="R57" s="29">
        <f>SQRT((P36-R55)^2+(Q36-S55)^2)</f>
        <v>6.1753047931907714</v>
      </c>
      <c r="S57" s="30"/>
      <c r="T57" s="28">
        <f>SQRT((T36-T55)^2+(U36-U55)^2)</f>
        <v>9.2363196568092949</v>
      </c>
      <c r="U57" s="29"/>
      <c r="V57" s="29">
        <f>SQRT((T36-V55)^2+(U36-W55)^2)</f>
        <v>9.2499655606787812</v>
      </c>
      <c r="W57" s="30"/>
      <c r="X57" s="28">
        <f>SQRT((X36-X55)^2+(Y36-Y55)^2)</f>
        <v>12.257797270921564</v>
      </c>
      <c r="Y57" s="29"/>
      <c r="Z57" s="29">
        <f>SQRT((X36-Z55)^2+(Y36-AA55)^2)</f>
        <v>12.316777020877998</v>
      </c>
      <c r="AA57" s="30"/>
      <c r="AB57" s="28">
        <f>SQRT((AB36-AB55)^2+(AC36-AC55)^2)</f>
        <v>15.218340499006063</v>
      </c>
      <c r="AC57" s="29"/>
      <c r="AD57" s="29">
        <f>SQRT((AB36-AD55)^2+(AC36-AE55)^2)</f>
        <v>15.382322062002396</v>
      </c>
      <c r="AE57" s="30"/>
      <c r="AF57" s="28">
        <f>SQRT((AF36-AF55)^2+(AG36-AG55)^2)</f>
        <v>18.092167325323679</v>
      </c>
      <c r="AG57" s="29"/>
      <c r="AH57" s="29">
        <f>SQRT((AF36-AH55)^2+(AG36-AI55)^2)</f>
        <v>18.459990755071001</v>
      </c>
      <c r="AI57" s="30"/>
      <c r="AJ57" s="28">
        <f>SQRT((AJ36-AJ55)^2+(AK36-AK55)^2)</f>
        <v>20.84891901090749</v>
      </c>
      <c r="AK57" s="29"/>
      <c r="AL57" s="29">
        <f>SQRT((AJ36-AL55)^2+(AK36-AM55)^2)</f>
        <v>21.573839396920246</v>
      </c>
      <c r="AM57" s="30"/>
      <c r="AN57" s="7"/>
      <c r="AO57" s="7"/>
      <c r="AP57" s="7"/>
      <c r="AQ57" s="7"/>
    </row>
  </sheetData>
  <mergeCells count="8">
    <mergeCell ref="AB2:AE2"/>
    <mergeCell ref="AF2:AI2"/>
    <mergeCell ref="AJ2:AM2"/>
    <mergeCell ref="AN2:AQ2"/>
    <mergeCell ref="L2:O2"/>
    <mergeCell ref="P2:S2"/>
    <mergeCell ref="T2:W2"/>
    <mergeCell ref="X2:AA2"/>
  </mergeCells>
  <phoneticPr fontId="0" type="noConversion"/>
  <pageMargins left="0.75" right="0.75" top="1" bottom="1" header="0.4921259845" footer="0.4921259845"/>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AR79"/>
  <sheetViews>
    <sheetView zoomScale="60" workbookViewId="0"/>
  </sheetViews>
  <sheetFormatPr defaultColWidth="11.5703125" defaultRowHeight="12.75" x14ac:dyDescent="0.2"/>
  <cols>
    <col min="1" max="1" width="4.7109375" customWidth="1"/>
    <col min="2" max="2" width="11.5703125" customWidth="1"/>
    <col min="3" max="3" width="11.5703125" bestFit="1" customWidth="1"/>
    <col min="4" max="4" width="7.28515625" bestFit="1" customWidth="1"/>
    <col min="5" max="5" width="7" bestFit="1" customWidth="1"/>
    <col min="6" max="6" width="7.5703125" bestFit="1" customWidth="1"/>
    <col min="7" max="7" width="11.5703125" bestFit="1" customWidth="1"/>
    <col min="8" max="8" width="11.5703125" customWidth="1"/>
    <col min="9" max="9" width="6.85546875" bestFit="1" customWidth="1"/>
    <col min="10" max="11" width="7.5703125" bestFit="1" customWidth="1"/>
    <col min="12" max="12" width="6.140625" customWidth="1"/>
    <col min="13" max="13" width="7.28515625" bestFit="1" customWidth="1"/>
    <col min="14" max="14" width="7" bestFit="1" customWidth="1"/>
    <col min="15" max="15" width="11.28515625" bestFit="1" customWidth="1"/>
    <col min="16" max="16" width="7.140625" bestFit="1" customWidth="1"/>
    <col min="17" max="17" width="7.28515625" bestFit="1" customWidth="1"/>
    <col min="18" max="18" width="7" bestFit="1" customWidth="1"/>
    <col min="19" max="19" width="6.85546875" bestFit="1" customWidth="1"/>
    <col min="20" max="20" width="6.28515625" bestFit="1" customWidth="1"/>
    <col min="21" max="21" width="7.5703125" bestFit="1" customWidth="1"/>
    <col min="22" max="22" width="7.28515625" bestFit="1" customWidth="1"/>
    <col min="23" max="23" width="6.85546875" bestFit="1" customWidth="1"/>
    <col min="24" max="24" width="6.28515625" bestFit="1" customWidth="1"/>
    <col min="25" max="25" width="7.28515625" bestFit="1" customWidth="1"/>
    <col min="26" max="26" width="7" bestFit="1" customWidth="1"/>
    <col min="27" max="27" width="6.85546875" bestFit="1" customWidth="1"/>
    <col min="28" max="28" width="6.28515625" bestFit="1" customWidth="1"/>
    <col min="29" max="29" width="7.28515625" bestFit="1" customWidth="1"/>
    <col min="30" max="30" width="7" bestFit="1" customWidth="1"/>
    <col min="31" max="31" width="6.85546875" bestFit="1" customWidth="1"/>
    <col min="32" max="32" width="6.28515625" bestFit="1" customWidth="1"/>
    <col min="33" max="33" width="7.5703125" bestFit="1" customWidth="1"/>
    <col min="34" max="34" width="7.28515625" bestFit="1" customWidth="1"/>
    <col min="35" max="35" width="6.85546875" bestFit="1" customWidth="1"/>
    <col min="36" max="36" width="6.28515625" bestFit="1" customWidth="1"/>
    <col min="37" max="37" width="7.28515625" bestFit="1" customWidth="1"/>
    <col min="38" max="38" width="7" bestFit="1" customWidth="1"/>
    <col min="39" max="39" width="6.85546875" bestFit="1" customWidth="1"/>
    <col min="40" max="40" width="6.28515625" bestFit="1" customWidth="1"/>
    <col min="41" max="41" width="7.28515625" bestFit="1" customWidth="1"/>
    <col min="42" max="42" width="7" bestFit="1" customWidth="1"/>
    <col min="43" max="43" width="6.85546875" bestFit="1" customWidth="1"/>
    <col min="44" max="44" width="6.28515625" bestFit="1" customWidth="1"/>
  </cols>
  <sheetData>
    <row r="1" spans="1:44" ht="13.5" thickBot="1" x14ac:dyDescent="0.25">
      <c r="A1" s="9"/>
      <c r="B1" s="9"/>
      <c r="C1" s="9"/>
      <c r="D1" s="9"/>
      <c r="E1" s="9"/>
      <c r="F1" s="9"/>
      <c r="G1" s="9"/>
      <c r="H1" s="9"/>
      <c r="I1" s="9"/>
      <c r="J1" s="9"/>
      <c r="K1" s="9"/>
      <c r="L1" s="7"/>
      <c r="M1" s="7"/>
      <c r="N1" s="7"/>
      <c r="O1" s="7"/>
      <c r="P1" s="2"/>
      <c r="Q1" s="2"/>
    </row>
    <row r="2" spans="1:44" x14ac:dyDescent="0.2">
      <c r="A2" s="1"/>
      <c r="B2" s="1" t="s">
        <v>99</v>
      </c>
      <c r="C2" s="1"/>
      <c r="D2" s="12" t="s">
        <v>1</v>
      </c>
      <c r="E2" s="12" t="s">
        <v>2</v>
      </c>
      <c r="F2" s="1"/>
      <c r="G2" s="1"/>
      <c r="H2" s="1"/>
      <c r="I2" s="1"/>
      <c r="J2" s="1"/>
      <c r="K2" s="1"/>
      <c r="L2" s="1"/>
      <c r="M2" s="35" t="s">
        <v>1</v>
      </c>
      <c r="N2" s="36" t="s">
        <v>2</v>
      </c>
      <c r="O2" s="37"/>
      <c r="P2" s="38" t="s">
        <v>118</v>
      </c>
      <c r="Q2" s="35" t="s">
        <v>1</v>
      </c>
      <c r="R2" s="36" t="s">
        <v>2</v>
      </c>
      <c r="S2" s="37"/>
      <c r="T2" s="38" t="s">
        <v>126</v>
      </c>
      <c r="U2" s="35" t="s">
        <v>1</v>
      </c>
      <c r="V2" s="36" t="s">
        <v>2</v>
      </c>
      <c r="W2" s="37"/>
      <c r="X2" s="38" t="s">
        <v>127</v>
      </c>
      <c r="Y2" s="35" t="s">
        <v>1</v>
      </c>
      <c r="Z2" s="36" t="s">
        <v>2</v>
      </c>
      <c r="AA2" s="37"/>
      <c r="AB2" s="38" t="s">
        <v>128</v>
      </c>
      <c r="AC2" s="35" t="s">
        <v>1</v>
      </c>
      <c r="AD2" s="36" t="s">
        <v>2</v>
      </c>
      <c r="AE2" s="37"/>
      <c r="AF2" s="38" t="s">
        <v>129</v>
      </c>
      <c r="AG2" s="35" t="s">
        <v>1</v>
      </c>
      <c r="AH2" s="36" t="s">
        <v>2</v>
      </c>
      <c r="AI2" s="37"/>
      <c r="AJ2" s="38" t="s">
        <v>130</v>
      </c>
      <c r="AK2" s="35" t="s">
        <v>1</v>
      </c>
      <c r="AL2" s="36" t="s">
        <v>2</v>
      </c>
      <c r="AM2" s="37"/>
      <c r="AN2" s="38" t="s">
        <v>131</v>
      </c>
      <c r="AO2" s="35" t="s">
        <v>1</v>
      </c>
      <c r="AP2" s="36" t="s">
        <v>2</v>
      </c>
      <c r="AQ2" s="37"/>
      <c r="AR2" s="38" t="s">
        <v>132</v>
      </c>
    </row>
    <row r="3" spans="1:44" x14ac:dyDescent="0.2">
      <c r="A3" s="2"/>
      <c r="B3" s="1" t="s">
        <v>40</v>
      </c>
      <c r="C3" s="2"/>
      <c r="D3" s="2">
        <v>0</v>
      </c>
      <c r="E3" s="2">
        <v>0</v>
      </c>
      <c r="F3" s="2"/>
      <c r="G3" s="2"/>
      <c r="H3" s="2"/>
      <c r="I3" s="2"/>
      <c r="J3" s="2"/>
      <c r="K3" s="2"/>
      <c r="L3" s="2"/>
      <c r="M3" s="6">
        <v>0</v>
      </c>
      <c r="N3" s="7">
        <v>0</v>
      </c>
      <c r="O3" s="7"/>
      <c r="P3" s="10"/>
      <c r="Q3" s="6">
        <v>0</v>
      </c>
      <c r="R3" s="7">
        <v>0</v>
      </c>
      <c r="S3" s="7"/>
      <c r="T3" s="10"/>
      <c r="U3" s="6">
        <v>0</v>
      </c>
      <c r="V3" s="7">
        <v>0</v>
      </c>
      <c r="W3" s="7"/>
      <c r="X3" s="10"/>
      <c r="Y3" s="6">
        <v>0</v>
      </c>
      <c r="Z3" s="7">
        <v>0</v>
      </c>
      <c r="AA3" s="7"/>
      <c r="AB3" s="10"/>
      <c r="AC3" s="6">
        <v>0</v>
      </c>
      <c r="AD3" s="7">
        <v>0</v>
      </c>
      <c r="AE3" s="7"/>
      <c r="AF3" s="10"/>
      <c r="AG3" s="6">
        <v>0</v>
      </c>
      <c r="AH3" s="7">
        <v>0</v>
      </c>
      <c r="AI3" s="7"/>
      <c r="AJ3" s="10"/>
      <c r="AK3" s="6">
        <v>0</v>
      </c>
      <c r="AL3" s="7">
        <v>0</v>
      </c>
      <c r="AM3" s="7"/>
      <c r="AN3" s="10"/>
      <c r="AO3" s="6">
        <v>0</v>
      </c>
      <c r="AP3" s="7">
        <v>0</v>
      </c>
      <c r="AQ3" s="7"/>
      <c r="AR3" s="10"/>
    </row>
    <row r="4" spans="1:44" x14ac:dyDescent="0.2">
      <c r="A4" s="2"/>
      <c r="B4" s="2" t="s">
        <v>0</v>
      </c>
      <c r="C4" s="2"/>
      <c r="D4" s="2">
        <f>'Bowden kabel'!$D$8</f>
        <v>6</v>
      </c>
      <c r="E4" s="2">
        <f>SQRT('Bowden kabel'!$D$7^2-'Bowden kabel'!$D$8^2)</f>
        <v>19.078784028338912</v>
      </c>
      <c r="F4" s="2"/>
      <c r="G4" s="2"/>
      <c r="H4" s="2"/>
      <c r="I4" s="2"/>
      <c r="J4" s="2"/>
      <c r="K4" s="2"/>
      <c r="L4" s="2"/>
      <c r="M4" s="6">
        <f>'Bowden kabel'!$D$8</f>
        <v>6</v>
      </c>
      <c r="N4" s="7">
        <f>SQRT('Bowden kabel'!$D$7^2-'Bowden kabel'!$D$8^2)</f>
        <v>19.078784028338912</v>
      </c>
      <c r="O4" s="7"/>
      <c r="P4" s="10"/>
      <c r="Q4" s="6">
        <f>'Bowden kabel'!$D$8</f>
        <v>6</v>
      </c>
      <c r="R4" s="7">
        <f>SQRT('Bowden kabel'!$D$7^2-'Bowden kabel'!$D$8^2)</f>
        <v>19.078784028338912</v>
      </c>
      <c r="S4" s="7"/>
      <c r="T4" s="10"/>
      <c r="U4" s="6">
        <f>'Bowden kabel'!$D$8</f>
        <v>6</v>
      </c>
      <c r="V4" s="7">
        <f>SQRT('Bowden kabel'!$D$7^2-'Bowden kabel'!$D$8^2)</f>
        <v>19.078784028338912</v>
      </c>
      <c r="W4" s="7"/>
      <c r="X4" s="10"/>
      <c r="Y4" s="6">
        <f>'Bowden kabel'!$D$8</f>
        <v>6</v>
      </c>
      <c r="Z4" s="7">
        <f>SQRT('Bowden kabel'!$D$7^2-'Bowden kabel'!$D$8^2)</f>
        <v>19.078784028338912</v>
      </c>
      <c r="AA4" s="7"/>
      <c r="AB4" s="10"/>
      <c r="AC4" s="6">
        <f>'Bowden kabel'!$D$8</f>
        <v>6</v>
      </c>
      <c r="AD4" s="7">
        <f>SQRT('Bowden kabel'!$D$7^2-'Bowden kabel'!$D$8^2)</f>
        <v>19.078784028338912</v>
      </c>
      <c r="AE4" s="7"/>
      <c r="AF4" s="10"/>
      <c r="AG4" s="6">
        <f>'Bowden kabel'!$D$8</f>
        <v>6</v>
      </c>
      <c r="AH4" s="7">
        <f>SQRT('Bowden kabel'!$D$7^2-'Bowden kabel'!$D$8^2)</f>
        <v>19.078784028338912</v>
      </c>
      <c r="AI4" s="7"/>
      <c r="AJ4" s="10"/>
      <c r="AK4" s="6">
        <f>'Bowden kabel'!$D$8</f>
        <v>6</v>
      </c>
      <c r="AL4" s="7">
        <f>SQRT('Bowden kabel'!$D$7^2-'Bowden kabel'!$D$8^2)</f>
        <v>19.078784028338912</v>
      </c>
      <c r="AM4" s="7"/>
      <c r="AN4" s="10"/>
      <c r="AO4" s="6">
        <f>'Bowden kabel'!$D$8</f>
        <v>6</v>
      </c>
      <c r="AP4" s="7">
        <f>SQRT('Bowden kabel'!$D$7^2-'Bowden kabel'!$D$8^2)</f>
        <v>19.078784028338912</v>
      </c>
      <c r="AQ4" s="7"/>
      <c r="AR4" s="10"/>
    </row>
    <row r="5" spans="1:44" x14ac:dyDescent="0.2">
      <c r="A5" s="2"/>
      <c r="B5" s="2" t="s">
        <v>6</v>
      </c>
      <c r="C5" s="2"/>
      <c r="D5" s="2">
        <f>ACOS('Bowden kabel'!$D$8/'Bowden kabel'!$D$7)</f>
        <v>1.266103672779499</v>
      </c>
      <c r="E5" s="2"/>
      <c r="F5" s="2"/>
      <c r="G5" s="2"/>
      <c r="H5" s="2"/>
      <c r="I5" s="2"/>
      <c r="J5" s="2"/>
      <c r="K5" s="2"/>
      <c r="L5" s="2"/>
      <c r="M5" s="6">
        <f>ACOS('Bowden kabel'!$D$8/'Bowden kabel'!$D$7)</f>
        <v>1.266103672779499</v>
      </c>
      <c r="N5" s="7"/>
      <c r="O5" s="7"/>
      <c r="P5" s="10"/>
      <c r="Q5" s="6">
        <f>ACOS('Bowden kabel'!$D$8/'Bowden kabel'!$D$7)</f>
        <v>1.266103672779499</v>
      </c>
      <c r="R5" s="7"/>
      <c r="S5" s="7"/>
      <c r="T5" s="10"/>
      <c r="U5" s="6">
        <f>ACOS('Bowden kabel'!$D$8/'Bowden kabel'!$D$7)</f>
        <v>1.266103672779499</v>
      </c>
      <c r="V5" s="7"/>
      <c r="W5" s="7"/>
      <c r="X5" s="10"/>
      <c r="Y5" s="6">
        <f>ACOS('Bowden kabel'!$D$8/'Bowden kabel'!$D$7)</f>
        <v>1.266103672779499</v>
      </c>
      <c r="Z5" s="7"/>
      <c r="AA5" s="7"/>
      <c r="AB5" s="10"/>
      <c r="AC5" s="6">
        <f>ACOS('Bowden kabel'!$D$8/'Bowden kabel'!$D$7)</f>
        <v>1.266103672779499</v>
      </c>
      <c r="AD5" s="7"/>
      <c r="AE5" s="7"/>
      <c r="AF5" s="10"/>
      <c r="AG5" s="6">
        <f>ACOS('Bowden kabel'!$D$8/'Bowden kabel'!$D$7)</f>
        <v>1.266103672779499</v>
      </c>
      <c r="AH5" s="7"/>
      <c r="AI5" s="7"/>
      <c r="AJ5" s="10"/>
      <c r="AK5" s="6">
        <f>ACOS('Bowden kabel'!$D$8/'Bowden kabel'!$D$7)</f>
        <v>1.266103672779499</v>
      </c>
      <c r="AL5" s="7"/>
      <c r="AM5" s="7"/>
      <c r="AN5" s="10"/>
      <c r="AO5" s="6">
        <f>ACOS('Bowden kabel'!$D$8/'Bowden kabel'!$D$7)</f>
        <v>1.266103672779499</v>
      </c>
      <c r="AP5" s="7"/>
      <c r="AQ5" s="7"/>
      <c r="AR5" s="10"/>
    </row>
    <row r="6" spans="1:44" x14ac:dyDescent="0.2">
      <c r="A6" s="2"/>
      <c r="B6" s="2" t="s">
        <v>53</v>
      </c>
      <c r="C6" s="2"/>
      <c r="D6" s="2">
        <f>'Bowden kabel'!$D$5</f>
        <v>60</v>
      </c>
      <c r="E6" s="2">
        <f>'Bowden kabel'!$D$6</f>
        <v>23</v>
      </c>
      <c r="F6" s="2"/>
      <c r="G6" s="2"/>
      <c r="H6" s="2"/>
      <c r="I6" s="2"/>
      <c r="J6" s="2"/>
      <c r="K6" s="2"/>
      <c r="L6" s="2"/>
      <c r="M6" s="6">
        <f>'Bowden kabel'!$D$5</f>
        <v>60</v>
      </c>
      <c r="N6" s="7">
        <f>'Bowden kabel'!$D$6</f>
        <v>23</v>
      </c>
      <c r="O6" s="7"/>
      <c r="P6" s="10"/>
      <c r="Q6" s="6">
        <f>'Bowden kabel'!$D$5</f>
        <v>60</v>
      </c>
      <c r="R6" s="7">
        <f>'Bowden kabel'!$D$6</f>
        <v>23</v>
      </c>
      <c r="S6" s="7"/>
      <c r="T6" s="10"/>
      <c r="U6" s="6">
        <f>'Bowden kabel'!$D$5</f>
        <v>60</v>
      </c>
      <c r="V6" s="7">
        <f>'Bowden kabel'!$D$6</f>
        <v>23</v>
      </c>
      <c r="W6" s="7"/>
      <c r="X6" s="10"/>
      <c r="Y6" s="6">
        <f>'Bowden kabel'!$D$5</f>
        <v>60</v>
      </c>
      <c r="Z6" s="7">
        <f>'Bowden kabel'!$D$6</f>
        <v>23</v>
      </c>
      <c r="AA6" s="7"/>
      <c r="AB6" s="10"/>
      <c r="AC6" s="6">
        <f>'Bowden kabel'!$D$5</f>
        <v>60</v>
      </c>
      <c r="AD6" s="7">
        <f>'Bowden kabel'!$D$6</f>
        <v>23</v>
      </c>
      <c r="AE6" s="7"/>
      <c r="AF6" s="10"/>
      <c r="AG6" s="6">
        <f>'Bowden kabel'!$D$5</f>
        <v>60</v>
      </c>
      <c r="AH6" s="7">
        <f>'Bowden kabel'!$D$6</f>
        <v>23</v>
      </c>
      <c r="AI6" s="7"/>
      <c r="AJ6" s="10"/>
      <c r="AK6" s="6">
        <f>'Bowden kabel'!$D$5</f>
        <v>60</v>
      </c>
      <c r="AL6" s="7">
        <f>'Bowden kabel'!$D$6</f>
        <v>23</v>
      </c>
      <c r="AM6" s="7"/>
      <c r="AN6" s="10"/>
      <c r="AO6" s="6">
        <f>'Bowden kabel'!$D$5</f>
        <v>60</v>
      </c>
      <c r="AP6" s="7">
        <f>'Bowden kabel'!$D$6</f>
        <v>23</v>
      </c>
      <c r="AQ6" s="7"/>
      <c r="AR6" s="10"/>
    </row>
    <row r="7" spans="1:44" x14ac:dyDescent="0.2">
      <c r="A7" s="2"/>
      <c r="B7" s="2" t="s">
        <v>41</v>
      </c>
      <c r="C7" s="2"/>
      <c r="D7" s="2">
        <f>SQRT(($D$6-$D$4)^2+($E$4-$E$6)^2)</f>
        <v>54.142182581573209</v>
      </c>
      <c r="E7" s="2"/>
      <c r="F7" s="2"/>
      <c r="G7" s="2"/>
      <c r="H7" s="2"/>
      <c r="I7" s="2"/>
      <c r="J7" s="2"/>
      <c r="K7" s="2"/>
      <c r="L7" s="2"/>
      <c r="M7" s="6">
        <f>SQRT(($D$6-$D$4)^2+($E$4-$E$6)^2)</f>
        <v>54.142182581573209</v>
      </c>
      <c r="N7" s="7"/>
      <c r="O7" s="7"/>
      <c r="P7" s="10"/>
      <c r="Q7" s="6">
        <f>SQRT(($D$6-$D$4)^2+($E$4-$E$6)^2)</f>
        <v>54.142182581573209</v>
      </c>
      <c r="R7" s="7"/>
      <c r="S7" s="7"/>
      <c r="T7" s="10"/>
      <c r="U7" s="6">
        <f>SQRT(($D$6-$D$4)^2+($E$4-$E$6)^2)</f>
        <v>54.142182581573209</v>
      </c>
      <c r="V7" s="7"/>
      <c r="W7" s="7"/>
      <c r="X7" s="10"/>
      <c r="Y7" s="6">
        <f>SQRT(($D$6-$D$4)^2+($E$4-$E$6)^2)</f>
        <v>54.142182581573209</v>
      </c>
      <c r="Z7" s="7"/>
      <c r="AA7" s="7"/>
      <c r="AB7" s="10"/>
      <c r="AC7" s="6">
        <f>SQRT(($D$6-$D$4)^2+($E$4-$E$6)^2)</f>
        <v>54.142182581573209</v>
      </c>
      <c r="AD7" s="7"/>
      <c r="AE7" s="7"/>
      <c r="AF7" s="10"/>
      <c r="AG7" s="6">
        <f>SQRT(($D$6-$D$4)^2+($E$4-$E$6)^2)</f>
        <v>54.142182581573209</v>
      </c>
      <c r="AH7" s="7"/>
      <c r="AI7" s="7"/>
      <c r="AJ7" s="10"/>
      <c r="AK7" s="6">
        <f>SQRT(($D$6-$D$4)^2+($E$4-$E$6)^2)</f>
        <v>54.142182581573209</v>
      </c>
      <c r="AL7" s="7"/>
      <c r="AM7" s="7"/>
      <c r="AN7" s="10"/>
      <c r="AO7" s="6">
        <f>SQRT(($D$6-$D$4)^2+($E$4-$E$6)^2)</f>
        <v>54.142182581573209</v>
      </c>
      <c r="AP7" s="7"/>
      <c r="AQ7" s="7"/>
      <c r="AR7" s="10"/>
    </row>
    <row r="8" spans="1:44" x14ac:dyDescent="0.2">
      <c r="A8" s="2"/>
      <c r="B8" s="2"/>
      <c r="C8" s="2"/>
      <c r="D8" s="2"/>
      <c r="E8" s="2"/>
      <c r="F8" s="2"/>
      <c r="G8" s="2"/>
      <c r="H8" s="2"/>
      <c r="I8" s="2"/>
      <c r="J8" s="2"/>
      <c r="K8" s="2"/>
      <c r="L8" s="2"/>
      <c r="M8" s="6"/>
      <c r="N8" s="7"/>
      <c r="O8" s="7"/>
      <c r="P8" s="10"/>
      <c r="Q8" s="6"/>
      <c r="R8" s="7"/>
      <c r="S8" s="7"/>
      <c r="T8" s="10"/>
      <c r="U8" s="6"/>
      <c r="V8" s="7"/>
      <c r="W8" s="7"/>
      <c r="X8" s="10"/>
      <c r="Y8" s="6"/>
      <c r="Z8" s="7"/>
      <c r="AA8" s="7"/>
      <c r="AB8" s="10"/>
      <c r="AC8" s="6"/>
      <c r="AD8" s="7"/>
      <c r="AE8" s="7"/>
      <c r="AF8" s="10"/>
      <c r="AG8" s="6"/>
      <c r="AH8" s="7"/>
      <c r="AI8" s="7"/>
      <c r="AJ8" s="10"/>
      <c r="AK8" s="6"/>
      <c r="AL8" s="7"/>
      <c r="AM8" s="7"/>
      <c r="AN8" s="10"/>
      <c r="AO8" s="6"/>
      <c r="AP8" s="7"/>
      <c r="AQ8" s="7"/>
      <c r="AR8" s="10"/>
    </row>
    <row r="9" spans="1:44" x14ac:dyDescent="0.2">
      <c r="A9" s="2"/>
      <c r="B9" s="1" t="s">
        <v>23</v>
      </c>
      <c r="C9" s="2"/>
      <c r="D9" s="2" t="s">
        <v>1</v>
      </c>
      <c r="E9" s="2" t="s">
        <v>2</v>
      </c>
      <c r="F9" s="2"/>
      <c r="G9" s="1" t="s">
        <v>24</v>
      </c>
      <c r="H9" s="2"/>
      <c r="I9" s="2" t="s">
        <v>1</v>
      </c>
      <c r="J9" s="2" t="s">
        <v>2</v>
      </c>
      <c r="K9" s="2"/>
      <c r="L9" s="2"/>
      <c r="M9" s="6" t="s">
        <v>1</v>
      </c>
      <c r="N9" s="7" t="s">
        <v>2</v>
      </c>
      <c r="O9" s="7" t="s">
        <v>1</v>
      </c>
      <c r="P9" s="10" t="s">
        <v>2</v>
      </c>
      <c r="Q9" s="6" t="s">
        <v>1</v>
      </c>
      <c r="R9" s="7" t="s">
        <v>2</v>
      </c>
      <c r="S9" s="7" t="s">
        <v>1</v>
      </c>
      <c r="T9" s="10" t="s">
        <v>2</v>
      </c>
      <c r="U9" s="6" t="s">
        <v>1</v>
      </c>
      <c r="V9" s="7" t="s">
        <v>2</v>
      </c>
      <c r="W9" s="7" t="s">
        <v>1</v>
      </c>
      <c r="X9" s="10" t="s">
        <v>2</v>
      </c>
      <c r="Y9" s="6" t="s">
        <v>1</v>
      </c>
      <c r="Z9" s="7" t="s">
        <v>2</v>
      </c>
      <c r="AA9" s="7" t="s">
        <v>1</v>
      </c>
      <c r="AB9" s="10" t="s">
        <v>2</v>
      </c>
      <c r="AC9" s="6" t="s">
        <v>1</v>
      </c>
      <c r="AD9" s="7" t="s">
        <v>2</v>
      </c>
      <c r="AE9" s="7" t="s">
        <v>1</v>
      </c>
      <c r="AF9" s="10" t="s">
        <v>2</v>
      </c>
      <c r="AG9" s="6" t="s">
        <v>1</v>
      </c>
      <c r="AH9" s="7" t="s">
        <v>2</v>
      </c>
      <c r="AI9" s="7" t="s">
        <v>1</v>
      </c>
      <c r="AJ9" s="10" t="s">
        <v>2</v>
      </c>
      <c r="AK9" s="6" t="s">
        <v>1</v>
      </c>
      <c r="AL9" s="7" t="s">
        <v>2</v>
      </c>
      <c r="AM9" s="7" t="s">
        <v>1</v>
      </c>
      <c r="AN9" s="10" t="s">
        <v>2</v>
      </c>
      <c r="AO9" s="6" t="s">
        <v>1</v>
      </c>
      <c r="AP9" s="7" t="s">
        <v>2</v>
      </c>
      <c r="AQ9" s="7" t="s">
        <v>1</v>
      </c>
      <c r="AR9" s="10" t="s">
        <v>2</v>
      </c>
    </row>
    <row r="10" spans="1:44" x14ac:dyDescent="0.2">
      <c r="A10" s="2"/>
      <c r="B10" s="2" t="s">
        <v>38</v>
      </c>
      <c r="C10" s="2"/>
      <c r="D10" s="2">
        <f>$D$5-RADIANS('Bowden kabel'!$D$15)</f>
        <v>0.56797197198176719</v>
      </c>
      <c r="E10" s="2"/>
      <c r="F10" s="2"/>
      <c r="G10" s="2" t="s">
        <v>39</v>
      </c>
      <c r="H10" s="2"/>
      <c r="I10" s="2">
        <f>$D$5+RADIANS('Bowden kabel'!$D$15)</f>
        <v>1.9642353735772309</v>
      </c>
      <c r="J10" s="2"/>
      <c r="K10" s="2"/>
      <c r="L10" s="2"/>
      <c r="M10" s="6">
        <f>$D$5-ABS(RADIANS($J$43))</f>
        <v>0.56797197198176719</v>
      </c>
      <c r="N10" s="7"/>
      <c r="O10" s="6">
        <f>$D$5+ABS(RADIANS($J$43))</f>
        <v>1.9642353735772309</v>
      </c>
      <c r="P10" s="10"/>
      <c r="Q10" s="6">
        <f>$D$5-ABS(RADIANS($J$44))</f>
        <v>0.65523843458148368</v>
      </c>
      <c r="R10" s="7"/>
      <c r="S10" s="6">
        <f>$D$5+ABS(RADIANS($J$44))</f>
        <v>1.8769689109775143</v>
      </c>
      <c r="T10" s="10"/>
      <c r="U10" s="6">
        <f>$D$5-ABS(RADIANS($J$45))</f>
        <v>0.74250489718120016</v>
      </c>
      <c r="V10" s="7"/>
      <c r="W10" s="6">
        <f>$D$5+ABS(RADIANS($J$45))</f>
        <v>1.7897024483777977</v>
      </c>
      <c r="X10" s="10"/>
      <c r="Y10" s="6">
        <f>$D$5-ABS(RADIANS($J$46))</f>
        <v>0.82977135978091665</v>
      </c>
      <c r="Z10" s="7"/>
      <c r="AA10" s="6">
        <f>$D$5+ABS(RADIANS($J$46))</f>
        <v>1.7024359857780813</v>
      </c>
      <c r="AB10" s="10"/>
      <c r="AC10" s="6">
        <f>$D$5-ABS(RADIANS($J$47))</f>
        <v>0.91703782238063303</v>
      </c>
      <c r="AD10" s="7"/>
      <c r="AE10" s="6">
        <f>$D$5+ABS(RADIANS($J$47))</f>
        <v>1.6151695231783649</v>
      </c>
      <c r="AF10" s="10"/>
      <c r="AG10" s="6">
        <f>$D$5-ABS(RADIANS($J$48))</f>
        <v>1.0043042849803496</v>
      </c>
      <c r="AH10" s="7"/>
      <c r="AI10" s="6">
        <f>$D$5+ABS(RADIANS($J$48))</f>
        <v>1.5279030605786483</v>
      </c>
      <c r="AJ10" s="10"/>
      <c r="AK10" s="6">
        <f>$D$5-ABS(RADIANS($J$49))</f>
        <v>1.091570747580066</v>
      </c>
      <c r="AL10" s="7"/>
      <c r="AM10" s="6">
        <f>$D$5+ABS(RADIANS($J$49))</f>
        <v>1.440636597978932</v>
      </c>
      <c r="AN10" s="10"/>
      <c r="AO10" s="6">
        <f>$D$5-ABS(RADIANS($J$50))</f>
        <v>1.1788372101797826</v>
      </c>
      <c r="AP10" s="7"/>
      <c r="AQ10" s="6">
        <f>$D$5+ABS(RADIANS($J$50))</f>
        <v>1.3533701353792154</v>
      </c>
      <c r="AR10" s="10"/>
    </row>
    <row r="11" spans="1:44" x14ac:dyDescent="0.2">
      <c r="A11" s="2"/>
      <c r="B11" s="2" t="s">
        <v>42</v>
      </c>
      <c r="C11" s="2"/>
      <c r="D11" s="2">
        <f>'Bowden kabel'!$D$7*COS(D10)</f>
        <v>16.859872640015563</v>
      </c>
      <c r="E11" s="2">
        <f>'Bowden kabel'!$D$7*SIN(D10)</f>
        <v>10.758470828256899</v>
      </c>
      <c r="F11" s="2"/>
      <c r="G11" s="2" t="s">
        <v>44</v>
      </c>
      <c r="H11" s="2"/>
      <c r="I11" s="2">
        <f>'Bowden kabel'!$D$7*COS(I10)</f>
        <v>-7.6673393225878241</v>
      </c>
      <c r="J11" s="2">
        <f>'Bowden kabel'!$D$7*SIN(I10)</f>
        <v>18.471922144495373</v>
      </c>
      <c r="K11" s="2"/>
      <c r="L11" s="2"/>
      <c r="M11" s="6">
        <f>'Bowden kabel'!$D$7*COS(M10)</f>
        <v>16.859872640015563</v>
      </c>
      <c r="N11" s="7">
        <f>'Bowden kabel'!$D$7*SIN(M10)</f>
        <v>10.758470828256899</v>
      </c>
      <c r="O11" s="7">
        <f>'Bowden kabel'!$D$7*COS(O10)</f>
        <v>-7.6673393225878241</v>
      </c>
      <c r="P11" s="10">
        <f>'Bowden kabel'!$D$7*SIN(O10)</f>
        <v>18.471922144495373</v>
      </c>
      <c r="Q11" s="6">
        <f>'Bowden kabel'!$D$7*COS(Q10)</f>
        <v>15.85805321861984</v>
      </c>
      <c r="R11" s="7">
        <f>'Bowden kabel'!$D$7*SIN(Q10)</f>
        <v>12.186966321255708</v>
      </c>
      <c r="S11" s="7">
        <f>'Bowden kabel'!$D$7*COS(S10)</f>
        <v>-6.0282286871519357</v>
      </c>
      <c r="T11" s="10">
        <f>'Bowden kabel'!$D$7*SIN(S10)</f>
        <v>19.069883557468263</v>
      </c>
      <c r="U11" s="6">
        <f>'Bowden kabel'!$D$7*COS(U10)</f>
        <v>14.73554443687609</v>
      </c>
      <c r="V11" s="7">
        <f>'Bowden kabel'!$D$7*SIN(U10)</f>
        <v>13.522711641858304</v>
      </c>
      <c r="W11" s="7">
        <f>'Bowden kabel'!$D$7*COS(W10)</f>
        <v>-4.3432395914628188</v>
      </c>
      <c r="X11" s="10">
        <f>'Bowden kabel'!$D$7*SIN(W10)</f>
        <v>19.522711641858308</v>
      </c>
      <c r="Y11" s="6">
        <f>'Bowden kabel'!$D$7*COS(Y10)</f>
        <v>13.500889264402712</v>
      </c>
      <c r="Z11" s="7">
        <f>'Bowden kabel'!$D$7*SIN(Y10)</f>
        <v>14.755540961629825</v>
      </c>
      <c r="AA11" s="7">
        <f>'Bowden kabel'!$D$7*COS(AA10)</f>
        <v>-2.6251958199629071</v>
      </c>
      <c r="AB11" s="10">
        <f>'Bowden kabel'!$D$7*SIN(AA10)</f>
        <v>19.826960102518218</v>
      </c>
      <c r="AC11" s="6">
        <f>'Bowden kabel'!$D$7*COS(AC10)</f>
        <v>12.163484172567408</v>
      </c>
      <c r="AD11" s="7">
        <f>'Bowden kabel'!$D$7*SIN(AC10)</f>
        <v>15.87607170504411</v>
      </c>
      <c r="AE11" s="7">
        <f>'Bowden kabel'!$D$7*COS(AE10)</f>
        <v>-0.88717272313650231</v>
      </c>
      <c r="AF11" s="10">
        <f>'Bowden kabel'!$D$7*SIN(AE10)</f>
        <v>19.980313424952136</v>
      </c>
      <c r="AG11" s="6">
        <f>'Bowden kabel'!$D$7*COS(AG10)</f>
        <v>10.733507621666313</v>
      </c>
      <c r="AH11" s="7">
        <f>'Bowden kabel'!$D$7*SIN(AG10)</f>
        <v>16.875775956548818</v>
      </c>
      <c r="AI11" s="7">
        <f>'Bowden kabel'!$D$7*COS(AI10)</f>
        <v>0.85760229380251207</v>
      </c>
      <c r="AJ11" s="10">
        <f>'Bowden kabel'!$D$7*SIN(AI10)</f>
        <v>19.981604497779067</v>
      </c>
      <c r="AK11" s="6">
        <f>'Bowden kabel'!$D$7*COS(AK10)</f>
        <v>9.2218425966952395</v>
      </c>
      <c r="AL11" s="7">
        <f>'Bowden kabel'!$D$7*SIN(AK10)</f>
        <v>17.747045363152065</v>
      </c>
      <c r="AM11" s="7">
        <f>'Bowden kabel'!$D$7*COS(AM10)</f>
        <v>2.595850439451262</v>
      </c>
      <c r="AN11" s="10">
        <f>'Bowden kabel'!$D$7*SIN(AM10)</f>
        <v>19.830823495155229</v>
      </c>
      <c r="AO11" s="6">
        <f>'Bowden kabel'!$D$7*COS(AO10)</f>
        <v>7.6399937812625094</v>
      </c>
      <c r="AP11" s="7">
        <f>'Bowden kabel'!$D$7*SIN(AO10)</f>
        <v>18.483249038582748</v>
      </c>
      <c r="AQ11" s="7">
        <f>'Bowden kabel'!$D$7*COS(AQ10)</f>
        <v>4.3143425958384416</v>
      </c>
      <c r="AR11" s="10">
        <f>'Bowden kabel'!$D$7*SIN(AQ10)</f>
        <v>19.52911795155465</v>
      </c>
    </row>
    <row r="12" spans="1:44" x14ac:dyDescent="0.2">
      <c r="A12" s="2"/>
      <c r="B12" s="2" t="s">
        <v>43</v>
      </c>
      <c r="C12" s="2"/>
      <c r="D12" s="2">
        <f>SQRT(($D$6-D11)^2+(E11-$E$6)^2)</f>
        <v>44.843345382546055</v>
      </c>
      <c r="E12" s="2"/>
      <c r="F12" s="2"/>
      <c r="G12" s="2" t="s">
        <v>45</v>
      </c>
      <c r="H12" s="2"/>
      <c r="I12" s="2">
        <f>SQRT(($D$6-I11)^2+(J11-$E$6)^2)</f>
        <v>67.818672208056029</v>
      </c>
      <c r="J12" s="2"/>
      <c r="K12" s="2"/>
      <c r="L12" s="2"/>
      <c r="M12" s="6">
        <f>SQRT(($D$6-M11)^2+(N11-$E$6)^2)</f>
        <v>44.843345382546055</v>
      </c>
      <c r="N12" s="7"/>
      <c r="O12" s="7">
        <f>SQRT(($D$6-O11)^2+(P11-$E$6)^2)</f>
        <v>67.818672208056029</v>
      </c>
      <c r="P12" s="10"/>
      <c r="Q12" s="6">
        <f>SQRT(($D$6-Q11)^2+(R11-$E$6)^2)</f>
        <v>45.447036899976837</v>
      </c>
      <c r="R12" s="7"/>
      <c r="S12" s="7">
        <f>SQRT(($D$6-S11)^2+(T11-$E$6)^2)</f>
        <v>66.145088999975599</v>
      </c>
      <c r="T12" s="10"/>
      <c r="U12" s="6">
        <f>SQRT(($D$6-U11)^2+(V11-$E$6)^2)</f>
        <v>46.245972062974175</v>
      </c>
      <c r="V12" s="7"/>
      <c r="W12" s="7">
        <f>SQRT(($D$6-W11)^2+(X11-$E$6)^2)</f>
        <v>64.437132272084057</v>
      </c>
      <c r="X12" s="10"/>
      <c r="Y12" s="6">
        <f>SQRT(($D$6-Y11)^2+(Z11-$E$6)^2)</f>
        <v>47.224341223956763</v>
      </c>
      <c r="Z12" s="7"/>
      <c r="AA12" s="7">
        <f>SQRT(($D$6-AA11)^2+(AB11-$E$6)^2)</f>
        <v>62.70552873295712</v>
      </c>
      <c r="AB12" s="10"/>
      <c r="AC12" s="6">
        <f>SQRT(($D$6-AC11)^2+(AD11-$E$6)^2)</f>
        <v>48.364063113637194</v>
      </c>
      <c r="AD12" s="7"/>
      <c r="AE12" s="7">
        <f>SQRT(($D$6-AE11)^2+(AF11-$E$6)^2)</f>
        <v>60.962007096457889</v>
      </c>
      <c r="AF12" s="10"/>
      <c r="AG12" s="6">
        <f>SQRT(($D$6-AG11)^2+(AH11-$E$6)^2)</f>
        <v>49.6456784765683</v>
      </c>
      <c r="AH12" s="7"/>
      <c r="AI12" s="7">
        <f>SQRT(($D$6-AI11)^2+(AJ11-$E$6)^2)</f>
        <v>59.21937113686586</v>
      </c>
      <c r="AJ12" s="10"/>
      <c r="AK12" s="6">
        <f>SQRT(($D$6-AK11)^2+(AL11-$E$6)^2)</f>
        <v>51.049141047539443</v>
      </c>
      <c r="AL12" s="7"/>
      <c r="AM12" s="7">
        <f>SQRT(($D$6-AM11)^2+(AN11-$E$6)^2)</f>
        <v>57.491565176891015</v>
      </c>
      <c r="AN12" s="10"/>
      <c r="AO12" s="6">
        <f>SQRT(($D$6-AO11)^2+(AP11-$E$6)^2)</f>
        <v>52.554460233872561</v>
      </c>
      <c r="AP12" s="7"/>
      <c r="AQ12" s="7">
        <f>SQRT(($D$6-AQ11)^2+(AR11-$E$6)^2)</f>
        <v>55.793722431182822</v>
      </c>
      <c r="AR12" s="10"/>
    </row>
    <row r="13" spans="1:44" x14ac:dyDescent="0.2">
      <c r="A13" s="2"/>
      <c r="B13" s="2" t="s">
        <v>46</v>
      </c>
      <c r="C13" s="2"/>
      <c r="D13" s="2">
        <f>$D$7-D12</f>
        <v>9.2988371990271546</v>
      </c>
      <c r="E13" s="2"/>
      <c r="F13" s="2"/>
      <c r="G13" s="2" t="s">
        <v>47</v>
      </c>
      <c r="H13" s="2"/>
      <c r="I13" s="2">
        <f>-$D$7+I12</f>
        <v>13.67648962648282</v>
      </c>
      <c r="J13" s="2"/>
      <c r="K13" s="2"/>
      <c r="L13" s="2"/>
      <c r="M13" s="6">
        <f>$D$7-M12</f>
        <v>9.2988371990271546</v>
      </c>
      <c r="N13" s="7"/>
      <c r="O13" s="7">
        <f>-$D$7+O12</f>
        <v>13.67648962648282</v>
      </c>
      <c r="P13" s="10"/>
      <c r="Q13" s="6">
        <f>$D$7-Q12</f>
        <v>8.6951456815963724</v>
      </c>
      <c r="R13" s="7"/>
      <c r="S13" s="7">
        <f>-$D$7+S12</f>
        <v>12.002906418402389</v>
      </c>
      <c r="T13" s="10"/>
      <c r="U13" s="6">
        <f>$D$7-U12</f>
        <v>7.8962105185990339</v>
      </c>
      <c r="V13" s="7"/>
      <c r="W13" s="7">
        <f>-$D$7+W12</f>
        <v>10.294949690510848</v>
      </c>
      <c r="X13" s="10"/>
      <c r="Y13" s="6">
        <f>$D$7-Y12</f>
        <v>6.9178413576164459</v>
      </c>
      <c r="Z13" s="7"/>
      <c r="AA13" s="7">
        <f>-$D$7+AA12</f>
        <v>8.5633461513839109</v>
      </c>
      <c r="AB13" s="10"/>
      <c r="AC13" s="6">
        <f>$D$7-AC12</f>
        <v>5.7781194679360155</v>
      </c>
      <c r="AD13" s="7"/>
      <c r="AE13" s="7">
        <f>-$D$7+AE12</f>
        <v>6.8198245148846794</v>
      </c>
      <c r="AF13" s="10"/>
      <c r="AG13" s="6">
        <f>$D$7-AG12</f>
        <v>4.4965041050049095</v>
      </c>
      <c r="AH13" s="7"/>
      <c r="AI13" s="7">
        <f>-$D$7+AI12</f>
        <v>5.0771885552926506</v>
      </c>
      <c r="AJ13" s="10"/>
      <c r="AK13" s="6">
        <f>$D$7-AK12</f>
        <v>3.093041534033766</v>
      </c>
      <c r="AL13" s="7"/>
      <c r="AM13" s="7">
        <f>-$D$7+AM12</f>
        <v>3.349382595317806</v>
      </c>
      <c r="AN13" s="10"/>
      <c r="AO13" s="6">
        <f>$D$7-AO12</f>
        <v>1.5877223477006481</v>
      </c>
      <c r="AP13" s="7"/>
      <c r="AQ13" s="7">
        <f>-$D$7+AQ12</f>
        <v>1.6515398496096125</v>
      </c>
      <c r="AR13" s="10"/>
    </row>
    <row r="14" spans="1:44" x14ac:dyDescent="0.2">
      <c r="A14" s="2"/>
      <c r="B14" s="2"/>
      <c r="C14" s="2"/>
      <c r="D14" s="2"/>
      <c r="E14" s="2"/>
      <c r="F14" s="2"/>
      <c r="G14" s="2"/>
      <c r="H14" s="2"/>
      <c r="I14" s="2"/>
      <c r="J14" s="2"/>
      <c r="K14" s="2"/>
      <c r="L14" s="2"/>
      <c r="M14" s="6"/>
      <c r="N14" s="7"/>
      <c r="O14" s="7"/>
      <c r="P14" s="10"/>
      <c r="Q14" s="6"/>
      <c r="R14" s="7"/>
      <c r="S14" s="7"/>
      <c r="T14" s="10"/>
      <c r="U14" s="6"/>
      <c r="V14" s="7"/>
      <c r="W14" s="7"/>
      <c r="X14" s="10"/>
      <c r="Y14" s="6"/>
      <c r="Z14" s="7"/>
      <c r="AA14" s="7"/>
      <c r="AB14" s="10"/>
      <c r="AC14" s="6"/>
      <c r="AD14" s="7"/>
      <c r="AE14" s="7"/>
      <c r="AF14" s="10"/>
      <c r="AG14" s="6"/>
      <c r="AH14" s="7"/>
      <c r="AI14" s="7"/>
      <c r="AJ14" s="10"/>
      <c r="AK14" s="6"/>
      <c r="AL14" s="7"/>
      <c r="AM14" s="7"/>
      <c r="AN14" s="10"/>
      <c r="AO14" s="6"/>
      <c r="AP14" s="7"/>
      <c r="AQ14" s="7"/>
      <c r="AR14" s="10"/>
    </row>
    <row r="15" spans="1:44" x14ac:dyDescent="0.2">
      <c r="A15" s="2"/>
      <c r="B15" s="2"/>
      <c r="C15" s="2"/>
      <c r="D15" s="2" t="s">
        <v>1</v>
      </c>
      <c r="E15" s="2" t="s">
        <v>2</v>
      </c>
      <c r="F15" s="2"/>
      <c r="G15" s="2"/>
      <c r="H15" s="2"/>
      <c r="I15" s="2"/>
      <c r="J15" s="2"/>
      <c r="K15" s="2"/>
      <c r="L15" s="2"/>
      <c r="M15" s="6" t="s">
        <v>1</v>
      </c>
      <c r="N15" s="7" t="s">
        <v>2</v>
      </c>
      <c r="O15" s="7"/>
      <c r="P15" s="10"/>
      <c r="Q15" s="6" t="s">
        <v>1</v>
      </c>
      <c r="R15" s="7" t="s">
        <v>2</v>
      </c>
      <c r="S15" s="7"/>
      <c r="T15" s="10"/>
      <c r="U15" s="6" t="s">
        <v>1</v>
      </c>
      <c r="V15" s="7" t="s">
        <v>2</v>
      </c>
      <c r="W15" s="7"/>
      <c r="X15" s="10"/>
      <c r="Y15" s="6" t="s">
        <v>1</v>
      </c>
      <c r="Z15" s="7" t="s">
        <v>2</v>
      </c>
      <c r="AA15" s="7"/>
      <c r="AB15" s="10"/>
      <c r="AC15" s="6" t="s">
        <v>1</v>
      </c>
      <c r="AD15" s="7" t="s">
        <v>2</v>
      </c>
      <c r="AE15" s="7"/>
      <c r="AF15" s="10"/>
      <c r="AG15" s="6" t="s">
        <v>1</v>
      </c>
      <c r="AH15" s="7" t="s">
        <v>2</v>
      </c>
      <c r="AI15" s="7"/>
      <c r="AJ15" s="10"/>
      <c r="AK15" s="6" t="s">
        <v>1</v>
      </c>
      <c r="AL15" s="7" t="s">
        <v>2</v>
      </c>
      <c r="AM15" s="7"/>
      <c r="AN15" s="10"/>
      <c r="AO15" s="6" t="s">
        <v>1</v>
      </c>
      <c r="AP15" s="7" t="s">
        <v>2</v>
      </c>
      <c r="AQ15" s="7"/>
      <c r="AR15" s="10"/>
    </row>
    <row r="16" spans="1:44" x14ac:dyDescent="0.2">
      <c r="A16" s="2"/>
      <c r="B16" s="2" t="s">
        <v>48</v>
      </c>
      <c r="C16" s="2"/>
      <c r="D16" s="2">
        <v>0</v>
      </c>
      <c r="E16" s="2">
        <v>0</v>
      </c>
      <c r="F16" s="2"/>
      <c r="G16" s="2"/>
      <c r="H16" s="2"/>
      <c r="I16" s="2"/>
      <c r="J16" s="2"/>
      <c r="K16" s="2"/>
      <c r="L16" s="2"/>
      <c r="M16" s="6">
        <v>0</v>
      </c>
      <c r="N16" s="7">
        <v>0</v>
      </c>
      <c r="O16" s="7"/>
      <c r="P16" s="10"/>
      <c r="Q16" s="6">
        <v>0</v>
      </c>
      <c r="R16" s="7">
        <v>0</v>
      </c>
      <c r="S16" s="7"/>
      <c r="T16" s="10"/>
      <c r="U16" s="6">
        <v>0</v>
      </c>
      <c r="V16" s="7">
        <v>0</v>
      </c>
      <c r="W16" s="7"/>
      <c r="X16" s="10"/>
      <c r="Y16" s="6">
        <v>0</v>
      </c>
      <c r="Z16" s="7">
        <v>0</v>
      </c>
      <c r="AA16" s="7"/>
      <c r="AB16" s="10"/>
      <c r="AC16" s="6">
        <v>0</v>
      </c>
      <c r="AD16" s="7">
        <v>0</v>
      </c>
      <c r="AE16" s="7"/>
      <c r="AF16" s="10"/>
      <c r="AG16" s="6">
        <v>0</v>
      </c>
      <c r="AH16" s="7">
        <v>0</v>
      </c>
      <c r="AI16" s="7"/>
      <c r="AJ16" s="10"/>
      <c r="AK16" s="6">
        <v>0</v>
      </c>
      <c r="AL16" s="7">
        <v>0</v>
      </c>
      <c r="AM16" s="7"/>
      <c r="AN16" s="10"/>
      <c r="AO16" s="6">
        <v>0</v>
      </c>
      <c r="AP16" s="7">
        <v>0</v>
      </c>
      <c r="AQ16" s="7"/>
      <c r="AR16" s="10"/>
    </row>
    <row r="17" spans="1:44" x14ac:dyDescent="0.2">
      <c r="A17" s="2"/>
      <c r="B17" s="2" t="s">
        <v>52</v>
      </c>
      <c r="C17" s="2"/>
      <c r="D17" s="2">
        <f>D16</f>
        <v>0</v>
      </c>
      <c r="E17" s="2">
        <f>'Bowden kabel'!$D$10</f>
        <v>12</v>
      </c>
      <c r="F17" s="2"/>
      <c r="G17" s="2"/>
      <c r="H17" s="2"/>
      <c r="I17" s="2"/>
      <c r="J17" s="2"/>
      <c r="K17" s="2"/>
      <c r="L17" s="2"/>
      <c r="M17" s="6">
        <f>M16</f>
        <v>0</v>
      </c>
      <c r="N17" s="7">
        <f>'Bowden kabel'!$D$10</f>
        <v>12</v>
      </c>
      <c r="O17" s="7"/>
      <c r="P17" s="10"/>
      <c r="Q17" s="6">
        <f>Q16</f>
        <v>0</v>
      </c>
      <c r="R17" s="7">
        <f>'Bowden kabel'!$D$10</f>
        <v>12</v>
      </c>
      <c r="S17" s="7"/>
      <c r="T17" s="10"/>
      <c r="U17" s="6">
        <f>U16</f>
        <v>0</v>
      </c>
      <c r="V17" s="7">
        <f>'Bowden kabel'!$D$10</f>
        <v>12</v>
      </c>
      <c r="W17" s="7"/>
      <c r="X17" s="10"/>
      <c r="Y17" s="6">
        <f>Y16</f>
        <v>0</v>
      </c>
      <c r="Z17" s="7">
        <f>'Bowden kabel'!$D$10</f>
        <v>12</v>
      </c>
      <c r="AA17" s="7"/>
      <c r="AB17" s="10"/>
      <c r="AC17" s="6">
        <f>AC16</f>
        <v>0</v>
      </c>
      <c r="AD17" s="7">
        <f>'Bowden kabel'!$D$10</f>
        <v>12</v>
      </c>
      <c r="AE17" s="7"/>
      <c r="AF17" s="10"/>
      <c r="AG17" s="6">
        <f>AG16</f>
        <v>0</v>
      </c>
      <c r="AH17" s="7">
        <f>'Bowden kabel'!$D$10</f>
        <v>12</v>
      </c>
      <c r="AI17" s="7"/>
      <c r="AJ17" s="10"/>
      <c r="AK17" s="6">
        <f>AK16</f>
        <v>0</v>
      </c>
      <c r="AL17" s="7">
        <f>'Bowden kabel'!$D$10</f>
        <v>12</v>
      </c>
      <c r="AM17" s="7"/>
      <c r="AN17" s="10"/>
      <c r="AO17" s="6">
        <f>AO16</f>
        <v>0</v>
      </c>
      <c r="AP17" s="7">
        <f>'Bowden kabel'!$D$10</f>
        <v>12</v>
      </c>
      <c r="AQ17" s="7"/>
      <c r="AR17" s="10"/>
    </row>
    <row r="18" spans="1:44" x14ac:dyDescent="0.2">
      <c r="A18" s="2"/>
      <c r="B18" s="2" t="s">
        <v>3</v>
      </c>
      <c r="C18" s="2"/>
      <c r="D18" s="2">
        <f>'Bowden kabel'!$D$9</f>
        <v>50</v>
      </c>
      <c r="E18" s="2">
        <f>E16</f>
        <v>0</v>
      </c>
      <c r="F18" s="2"/>
      <c r="G18" s="2"/>
      <c r="H18" s="2"/>
      <c r="I18" s="2"/>
      <c r="J18" s="2"/>
      <c r="K18" s="2"/>
      <c r="L18" s="2"/>
      <c r="M18" s="6">
        <f>'Bowden kabel'!$D$9</f>
        <v>50</v>
      </c>
      <c r="N18" s="7">
        <f>N16</f>
        <v>0</v>
      </c>
      <c r="O18" s="7"/>
      <c r="P18" s="10"/>
      <c r="Q18" s="6">
        <f>'Bowden kabel'!$D$9</f>
        <v>50</v>
      </c>
      <c r="R18" s="7">
        <f>R16</f>
        <v>0</v>
      </c>
      <c r="S18" s="7"/>
      <c r="T18" s="10"/>
      <c r="U18" s="6">
        <f>'Bowden kabel'!$D$9</f>
        <v>50</v>
      </c>
      <c r="V18" s="7">
        <f>V16</f>
        <v>0</v>
      </c>
      <c r="W18" s="7"/>
      <c r="X18" s="10"/>
      <c r="Y18" s="6">
        <f>'Bowden kabel'!$D$9</f>
        <v>50</v>
      </c>
      <c r="Z18" s="7">
        <f>Z16</f>
        <v>0</v>
      </c>
      <c r="AA18" s="7"/>
      <c r="AB18" s="10"/>
      <c r="AC18" s="6">
        <f>'Bowden kabel'!$D$9</f>
        <v>50</v>
      </c>
      <c r="AD18" s="7">
        <f>AD16</f>
        <v>0</v>
      </c>
      <c r="AE18" s="7"/>
      <c r="AF18" s="10"/>
      <c r="AG18" s="6">
        <f>'Bowden kabel'!$D$9</f>
        <v>50</v>
      </c>
      <c r="AH18" s="7">
        <f>AH16</f>
        <v>0</v>
      </c>
      <c r="AI18" s="7"/>
      <c r="AJ18" s="10"/>
      <c r="AK18" s="6">
        <f>'Bowden kabel'!$D$9</f>
        <v>50</v>
      </c>
      <c r="AL18" s="7">
        <f>AL16</f>
        <v>0</v>
      </c>
      <c r="AM18" s="7"/>
      <c r="AN18" s="10"/>
      <c r="AO18" s="6">
        <f>'Bowden kabel'!$D$9</f>
        <v>50</v>
      </c>
      <c r="AP18" s="7">
        <f>AP16</f>
        <v>0</v>
      </c>
      <c r="AQ18" s="7"/>
      <c r="AR18" s="10"/>
    </row>
    <row r="19" spans="1:44" x14ac:dyDescent="0.2">
      <c r="A19" s="2"/>
      <c r="B19" s="2" t="s">
        <v>19</v>
      </c>
      <c r="C19" s="2"/>
      <c r="D19" s="2">
        <f>D18+'Bowden kabel'!$D$12</f>
        <v>54</v>
      </c>
      <c r="E19" s="2">
        <f>SQRT('Bowden kabel'!$D$11^2-'Bowden kabel'!$D$12^2)</f>
        <v>19.595917942265423</v>
      </c>
      <c r="F19" s="2"/>
      <c r="G19" s="2"/>
      <c r="H19" s="2"/>
      <c r="I19" s="2"/>
      <c r="J19" s="2"/>
      <c r="K19" s="2"/>
      <c r="L19" s="2"/>
      <c r="M19" s="6">
        <f>M18+'Bowden kabel'!$D$12</f>
        <v>54</v>
      </c>
      <c r="N19" s="7">
        <f>SQRT('Bowden kabel'!$D$11^2-'Bowden kabel'!$D$12^2)</f>
        <v>19.595917942265423</v>
      </c>
      <c r="O19" s="7"/>
      <c r="P19" s="10"/>
      <c r="Q19" s="6">
        <f>Q18+'Bowden kabel'!$D$12</f>
        <v>54</v>
      </c>
      <c r="R19" s="7">
        <f>SQRT('Bowden kabel'!$D$11^2-'Bowden kabel'!$D$12^2)</f>
        <v>19.595917942265423</v>
      </c>
      <c r="S19" s="7"/>
      <c r="T19" s="10"/>
      <c r="U19" s="6">
        <f>U18+'Bowden kabel'!$D$12</f>
        <v>54</v>
      </c>
      <c r="V19" s="7">
        <f>SQRT('Bowden kabel'!$D$11^2-'Bowden kabel'!$D$12^2)</f>
        <v>19.595917942265423</v>
      </c>
      <c r="W19" s="7"/>
      <c r="X19" s="10"/>
      <c r="Y19" s="6">
        <f>Y18+'Bowden kabel'!$D$12</f>
        <v>54</v>
      </c>
      <c r="Z19" s="7">
        <f>SQRT('Bowden kabel'!$D$11^2-'Bowden kabel'!$D$12^2)</f>
        <v>19.595917942265423</v>
      </c>
      <c r="AA19" s="7"/>
      <c r="AB19" s="10"/>
      <c r="AC19" s="6">
        <f>AC18+'Bowden kabel'!$D$12</f>
        <v>54</v>
      </c>
      <c r="AD19" s="7">
        <f>SQRT('Bowden kabel'!$D$11^2-'Bowden kabel'!$D$12^2)</f>
        <v>19.595917942265423</v>
      </c>
      <c r="AE19" s="7"/>
      <c r="AF19" s="10"/>
      <c r="AG19" s="6">
        <f>AG18+'Bowden kabel'!$D$12</f>
        <v>54</v>
      </c>
      <c r="AH19" s="7">
        <f>SQRT('Bowden kabel'!$D$11^2-'Bowden kabel'!$D$12^2)</f>
        <v>19.595917942265423</v>
      </c>
      <c r="AI19" s="7"/>
      <c r="AJ19" s="10"/>
      <c r="AK19" s="6">
        <f>AK18+'Bowden kabel'!$D$12</f>
        <v>54</v>
      </c>
      <c r="AL19" s="7">
        <f>SQRT('Bowden kabel'!$D$11^2-'Bowden kabel'!$D$12^2)</f>
        <v>19.595917942265423</v>
      </c>
      <c r="AM19" s="7"/>
      <c r="AN19" s="10"/>
      <c r="AO19" s="6">
        <f>AO18+'Bowden kabel'!$D$12</f>
        <v>54</v>
      </c>
      <c r="AP19" s="7">
        <f>SQRT('Bowden kabel'!$D$11^2-'Bowden kabel'!$D$12^2)</f>
        <v>19.595917942265423</v>
      </c>
      <c r="AQ19" s="7"/>
      <c r="AR19" s="10"/>
    </row>
    <row r="20" spans="1:44" x14ac:dyDescent="0.2">
      <c r="A20" s="2"/>
      <c r="B20" s="2" t="s">
        <v>33</v>
      </c>
      <c r="C20" s="2"/>
      <c r="D20" s="2">
        <f>D18+'Bowden kabel'!$D$13*COS(RADIANS('Bowden kabel'!$D$14))</f>
        <v>89.847787923669813</v>
      </c>
      <c r="E20" s="2">
        <f>E18+'Bowden kabel'!$D$13*SIN(RADIANS('Bowden kabel'!$D$14))</f>
        <v>-3.4862297099063264</v>
      </c>
      <c r="F20" s="2"/>
      <c r="G20" s="2"/>
      <c r="H20" s="2"/>
      <c r="I20" s="2"/>
      <c r="J20" s="2"/>
      <c r="K20" s="2"/>
      <c r="L20" s="2"/>
      <c r="M20" s="6">
        <f>M18+'Bowden kabel'!$D$13*COS(RADIANS('Bowden kabel'!$D$14))</f>
        <v>89.847787923669813</v>
      </c>
      <c r="N20" s="7">
        <f>N18+'Bowden kabel'!$D$13*SIN(RADIANS('Bowden kabel'!$D$14))</f>
        <v>-3.4862297099063264</v>
      </c>
      <c r="O20" s="7"/>
      <c r="P20" s="10"/>
      <c r="Q20" s="6">
        <f>Q18+'Bowden kabel'!$D$13*COS(RADIANS('Bowden kabel'!$D$14))</f>
        <v>89.847787923669813</v>
      </c>
      <c r="R20" s="7">
        <f>R18+'Bowden kabel'!$D$13*SIN(RADIANS('Bowden kabel'!$D$14))</f>
        <v>-3.4862297099063264</v>
      </c>
      <c r="S20" s="7"/>
      <c r="T20" s="10"/>
      <c r="U20" s="6">
        <f>U18+'Bowden kabel'!$D$13*COS(RADIANS('Bowden kabel'!$D$14))</f>
        <v>89.847787923669813</v>
      </c>
      <c r="V20" s="7">
        <f>V18+'Bowden kabel'!$D$13*SIN(RADIANS('Bowden kabel'!$D$14))</f>
        <v>-3.4862297099063264</v>
      </c>
      <c r="W20" s="7"/>
      <c r="X20" s="10"/>
      <c r="Y20" s="6">
        <f>Y18+'Bowden kabel'!$D$13*COS(RADIANS('Bowden kabel'!$D$14))</f>
        <v>89.847787923669813</v>
      </c>
      <c r="Z20" s="7">
        <f>Z18+'Bowden kabel'!$D$13*SIN(RADIANS('Bowden kabel'!$D$14))</f>
        <v>-3.4862297099063264</v>
      </c>
      <c r="AA20" s="7"/>
      <c r="AB20" s="10"/>
      <c r="AC20" s="6">
        <f>AC18+'Bowden kabel'!$D$13*COS(RADIANS('Bowden kabel'!$D$14))</f>
        <v>89.847787923669813</v>
      </c>
      <c r="AD20" s="7">
        <f>AD18+'Bowden kabel'!$D$13*SIN(RADIANS('Bowden kabel'!$D$14))</f>
        <v>-3.4862297099063264</v>
      </c>
      <c r="AE20" s="7"/>
      <c r="AF20" s="10"/>
      <c r="AG20" s="6">
        <f>AG18+'Bowden kabel'!$D$13*COS(RADIANS('Bowden kabel'!$D$14))</f>
        <v>89.847787923669813</v>
      </c>
      <c r="AH20" s="7">
        <f>AH18+'Bowden kabel'!$D$13*SIN(RADIANS('Bowden kabel'!$D$14))</f>
        <v>-3.4862297099063264</v>
      </c>
      <c r="AI20" s="7"/>
      <c r="AJ20" s="10"/>
      <c r="AK20" s="6">
        <f>AK18+'Bowden kabel'!$D$13*COS(RADIANS('Bowden kabel'!$D$14))</f>
        <v>89.847787923669813</v>
      </c>
      <c r="AL20" s="7">
        <f>AL18+'Bowden kabel'!$D$13*SIN(RADIANS('Bowden kabel'!$D$14))</f>
        <v>-3.4862297099063264</v>
      </c>
      <c r="AM20" s="7"/>
      <c r="AN20" s="10"/>
      <c r="AO20" s="6">
        <f>AO18+'Bowden kabel'!$D$13*COS(RADIANS('Bowden kabel'!$D$14))</f>
        <v>89.847787923669813</v>
      </c>
      <c r="AP20" s="7">
        <f>AP18+'Bowden kabel'!$D$13*SIN(RADIANS('Bowden kabel'!$D$14))</f>
        <v>-3.4862297099063264</v>
      </c>
      <c r="AQ20" s="7"/>
      <c r="AR20" s="10"/>
    </row>
    <row r="21" spans="1:44" x14ac:dyDescent="0.2">
      <c r="A21" s="2"/>
      <c r="B21" s="2" t="s">
        <v>6</v>
      </c>
      <c r="C21" s="2"/>
      <c r="D21" s="2">
        <f>ACOS('Bowden kabel'!$D$8/'Bowden kabel'!$D$7)</f>
        <v>1.266103672779499</v>
      </c>
      <c r="E21" s="2"/>
      <c r="F21" s="2"/>
      <c r="G21" s="2"/>
      <c r="H21" s="2"/>
      <c r="I21" s="2"/>
      <c r="J21" s="2"/>
      <c r="K21" s="2"/>
      <c r="L21" s="2"/>
      <c r="M21" s="6">
        <f>ACOS('Bowden kabel'!$D$8/'Bowden kabel'!$D$7)</f>
        <v>1.266103672779499</v>
      </c>
      <c r="N21" s="7"/>
      <c r="O21" s="7"/>
      <c r="P21" s="10"/>
      <c r="Q21" s="6">
        <f>ACOS('Bowden kabel'!$D$8/'Bowden kabel'!$D$7)</f>
        <v>1.266103672779499</v>
      </c>
      <c r="R21" s="7"/>
      <c r="S21" s="7"/>
      <c r="T21" s="10"/>
      <c r="U21" s="6">
        <f>ACOS('Bowden kabel'!$D$8/'Bowden kabel'!$D$7)</f>
        <v>1.266103672779499</v>
      </c>
      <c r="V21" s="7"/>
      <c r="W21" s="7"/>
      <c r="X21" s="10"/>
      <c r="Y21" s="6">
        <f>ACOS('Bowden kabel'!$D$8/'Bowden kabel'!$D$7)</f>
        <v>1.266103672779499</v>
      </c>
      <c r="Z21" s="7"/>
      <c r="AA21" s="7"/>
      <c r="AB21" s="10"/>
      <c r="AC21" s="6">
        <f>ACOS('Bowden kabel'!$D$8/'Bowden kabel'!$D$7)</f>
        <v>1.266103672779499</v>
      </c>
      <c r="AD21" s="7"/>
      <c r="AE21" s="7"/>
      <c r="AF21" s="10"/>
      <c r="AG21" s="6">
        <f>ACOS('Bowden kabel'!$D$8/'Bowden kabel'!$D$7)</f>
        <v>1.266103672779499</v>
      </c>
      <c r="AH21" s="7"/>
      <c r="AI21" s="7"/>
      <c r="AJ21" s="10"/>
      <c r="AK21" s="6">
        <f>ACOS('Bowden kabel'!$D$8/'Bowden kabel'!$D$7)</f>
        <v>1.266103672779499</v>
      </c>
      <c r="AL21" s="7"/>
      <c r="AM21" s="7"/>
      <c r="AN21" s="10"/>
      <c r="AO21" s="6">
        <f>ACOS('Bowden kabel'!$D$8/'Bowden kabel'!$D$7)</f>
        <v>1.266103672779499</v>
      </c>
      <c r="AP21" s="7"/>
      <c r="AQ21" s="7"/>
      <c r="AR21" s="10"/>
    </row>
    <row r="22" spans="1:44" x14ac:dyDescent="0.2">
      <c r="A22" s="2"/>
      <c r="B22" s="2" t="s">
        <v>27</v>
      </c>
      <c r="C22" s="2"/>
      <c r="D22" s="2">
        <f>PI()/2-ASIN('Bowden kabel'!$D$12/'Bowden kabel'!$D$11)-RADIANS('Bowden kabel'!$D$14)</f>
        <v>1.4567048686042821</v>
      </c>
      <c r="E22" s="2"/>
      <c r="F22" s="2"/>
      <c r="G22" s="2"/>
      <c r="H22" s="2"/>
      <c r="I22" s="2"/>
      <c r="J22" s="2"/>
      <c r="K22" s="2"/>
      <c r="L22" s="2"/>
      <c r="M22" s="6">
        <f>PI()/2-ASIN('Bowden kabel'!$D$12/'Bowden kabel'!$D$11)-RADIANS('Bowden kabel'!$D$14)</f>
        <v>1.4567048686042821</v>
      </c>
      <c r="N22" s="7"/>
      <c r="O22" s="7"/>
      <c r="P22" s="10"/>
      <c r="Q22" s="6">
        <f>PI()/2-ASIN('Bowden kabel'!$D$12/'Bowden kabel'!$D$11)-RADIANS('Bowden kabel'!$D$14)</f>
        <v>1.4567048686042821</v>
      </c>
      <c r="R22" s="7"/>
      <c r="S22" s="7"/>
      <c r="T22" s="10"/>
      <c r="U22" s="6">
        <f>PI()/2-ASIN('Bowden kabel'!$D$12/'Bowden kabel'!$D$11)-RADIANS('Bowden kabel'!$D$14)</f>
        <v>1.4567048686042821</v>
      </c>
      <c r="V22" s="7"/>
      <c r="W22" s="7"/>
      <c r="X22" s="10"/>
      <c r="Y22" s="6">
        <f>PI()/2-ASIN('Bowden kabel'!$D$12/'Bowden kabel'!$D$11)-RADIANS('Bowden kabel'!$D$14)</f>
        <v>1.4567048686042821</v>
      </c>
      <c r="Z22" s="7"/>
      <c r="AA22" s="7"/>
      <c r="AB22" s="10"/>
      <c r="AC22" s="6">
        <f>PI()/2-ASIN('Bowden kabel'!$D$12/'Bowden kabel'!$D$11)-RADIANS('Bowden kabel'!$D$14)</f>
        <v>1.4567048686042821</v>
      </c>
      <c r="AD22" s="7"/>
      <c r="AE22" s="7"/>
      <c r="AF22" s="10"/>
      <c r="AG22" s="6">
        <f>PI()/2-ASIN('Bowden kabel'!$D$12/'Bowden kabel'!$D$11)-RADIANS('Bowden kabel'!$D$14)</f>
        <v>1.4567048686042821</v>
      </c>
      <c r="AH22" s="7"/>
      <c r="AI22" s="7"/>
      <c r="AJ22" s="10"/>
      <c r="AK22" s="6">
        <f>PI()/2-ASIN('Bowden kabel'!$D$12/'Bowden kabel'!$D$11)-RADIANS('Bowden kabel'!$D$14)</f>
        <v>1.4567048686042821</v>
      </c>
      <c r="AL22" s="7"/>
      <c r="AM22" s="7"/>
      <c r="AN22" s="10"/>
      <c r="AO22" s="6">
        <f>PI()/2-ASIN('Bowden kabel'!$D$12/'Bowden kabel'!$D$11)-RADIANS('Bowden kabel'!$D$14)</f>
        <v>1.4567048686042821</v>
      </c>
      <c r="AP22" s="7"/>
      <c r="AQ22" s="7"/>
      <c r="AR22" s="10"/>
    </row>
    <row r="23" spans="1:44" x14ac:dyDescent="0.2">
      <c r="A23" s="2"/>
      <c r="B23" s="12" t="s">
        <v>51</v>
      </c>
      <c r="C23" s="2"/>
      <c r="D23" s="2">
        <f>SQRT((D17-D19)^2+(E17-E19)^2)</f>
        <v>54.53162357188377</v>
      </c>
      <c r="E23" s="2"/>
      <c r="F23" s="2"/>
      <c r="G23" s="2"/>
      <c r="H23" s="2"/>
      <c r="I23" s="2"/>
      <c r="J23" s="2"/>
      <c r="K23" s="2"/>
      <c r="L23" s="2"/>
      <c r="M23" s="6">
        <f>SQRT((M17-M19)^2+(N17-N19)^2)</f>
        <v>54.53162357188377</v>
      </c>
      <c r="N23" s="7"/>
      <c r="O23" s="7"/>
      <c r="P23" s="10"/>
      <c r="Q23" s="6">
        <f>SQRT((Q17-Q19)^2+(R17-R19)^2)</f>
        <v>54.53162357188377</v>
      </c>
      <c r="R23" s="7"/>
      <c r="S23" s="7"/>
      <c r="T23" s="10"/>
      <c r="U23" s="6">
        <f>SQRT((U17-U19)^2+(V17-V19)^2)</f>
        <v>54.53162357188377</v>
      </c>
      <c r="V23" s="7"/>
      <c r="W23" s="7"/>
      <c r="X23" s="10"/>
      <c r="Y23" s="6">
        <f>SQRT((Y17-Y19)^2+(Z17-Z19)^2)</f>
        <v>54.53162357188377</v>
      </c>
      <c r="Z23" s="7"/>
      <c r="AA23" s="7"/>
      <c r="AB23" s="10"/>
      <c r="AC23" s="6">
        <f>SQRT((AC17-AC19)^2+(AD17-AD19)^2)</f>
        <v>54.53162357188377</v>
      </c>
      <c r="AD23" s="7"/>
      <c r="AE23" s="7"/>
      <c r="AF23" s="10"/>
      <c r="AG23" s="6">
        <f>SQRT((AG17-AG19)^2+(AH17-AH19)^2)</f>
        <v>54.53162357188377</v>
      </c>
      <c r="AH23" s="7"/>
      <c r="AI23" s="7"/>
      <c r="AJ23" s="10"/>
      <c r="AK23" s="6">
        <f>SQRT((AK17-AK19)^2+(AL17-AL19)^2)</f>
        <v>54.53162357188377</v>
      </c>
      <c r="AL23" s="7"/>
      <c r="AM23" s="7"/>
      <c r="AN23" s="10"/>
      <c r="AO23" s="6">
        <f>SQRT((AO17-AO19)^2+(AP17-AP19)^2)</f>
        <v>54.53162357188377</v>
      </c>
      <c r="AP23" s="7"/>
      <c r="AQ23" s="7"/>
      <c r="AR23" s="10"/>
    </row>
    <row r="24" spans="1:44" x14ac:dyDescent="0.2">
      <c r="A24" s="2"/>
      <c r="B24" s="2" t="s">
        <v>28</v>
      </c>
      <c r="C24" s="2"/>
      <c r="D24" s="2">
        <f>RADIANS('Bowden kabel'!$D$15)</f>
        <v>0.69813170079773179</v>
      </c>
      <c r="E24" s="2"/>
      <c r="F24" s="2"/>
      <c r="G24" s="2"/>
      <c r="H24" s="2"/>
      <c r="I24" s="2"/>
      <c r="J24" s="2"/>
      <c r="K24" s="2"/>
      <c r="L24" s="2"/>
      <c r="M24" s="6">
        <f>RADIANS('Bowden kabel'!$D$15)</f>
        <v>0.69813170079773179</v>
      </c>
      <c r="N24" s="7"/>
      <c r="O24" s="7"/>
      <c r="P24" s="10"/>
      <c r="Q24" s="6">
        <f>RADIANS('Bowden kabel'!$D$15)</f>
        <v>0.69813170079773179</v>
      </c>
      <c r="R24" s="7"/>
      <c r="S24" s="7"/>
      <c r="T24" s="10"/>
      <c r="U24" s="6">
        <f>RADIANS('Bowden kabel'!$D$15)</f>
        <v>0.69813170079773179</v>
      </c>
      <c r="V24" s="7"/>
      <c r="W24" s="7"/>
      <c r="X24" s="10"/>
      <c r="Y24" s="6">
        <f>RADIANS('Bowden kabel'!$D$15)</f>
        <v>0.69813170079773179</v>
      </c>
      <c r="Z24" s="7"/>
      <c r="AA24" s="7"/>
      <c r="AB24" s="10"/>
      <c r="AC24" s="6">
        <f>RADIANS('Bowden kabel'!$D$15)</f>
        <v>0.69813170079773179</v>
      </c>
      <c r="AD24" s="7"/>
      <c r="AE24" s="7"/>
      <c r="AF24" s="10"/>
      <c r="AG24" s="6">
        <f>RADIANS('Bowden kabel'!$D$15)</f>
        <v>0.69813170079773179</v>
      </c>
      <c r="AH24" s="7"/>
      <c r="AI24" s="7"/>
      <c r="AJ24" s="10"/>
      <c r="AK24" s="6">
        <f>RADIANS('Bowden kabel'!$D$15)</f>
        <v>0.69813170079773179</v>
      </c>
      <c r="AL24" s="7"/>
      <c r="AM24" s="7"/>
      <c r="AN24" s="10"/>
      <c r="AO24" s="6">
        <f>RADIANS('Bowden kabel'!$D$15)</f>
        <v>0.69813170079773179</v>
      </c>
      <c r="AP24" s="7"/>
      <c r="AQ24" s="7"/>
      <c r="AR24" s="10"/>
    </row>
    <row r="25" spans="1:44" x14ac:dyDescent="0.2">
      <c r="A25" s="2"/>
      <c r="B25" s="2"/>
      <c r="C25" s="2"/>
      <c r="D25" s="2"/>
      <c r="E25" s="2"/>
      <c r="F25" s="2"/>
      <c r="G25" s="2"/>
      <c r="H25" s="2"/>
      <c r="I25" s="2"/>
      <c r="J25" s="2"/>
      <c r="K25" s="2"/>
      <c r="L25" s="2"/>
      <c r="M25" s="6"/>
      <c r="N25" s="7"/>
      <c r="O25" s="7"/>
      <c r="P25" s="10"/>
      <c r="Q25" s="6"/>
      <c r="R25" s="7"/>
      <c r="S25" s="7"/>
      <c r="T25" s="10"/>
      <c r="U25" s="6"/>
      <c r="V25" s="7"/>
      <c r="W25" s="7"/>
      <c r="X25" s="10"/>
      <c r="Y25" s="6"/>
      <c r="Z25" s="7"/>
      <c r="AA25" s="7"/>
      <c r="AB25" s="10"/>
      <c r="AC25" s="6"/>
      <c r="AD25" s="7"/>
      <c r="AE25" s="7"/>
      <c r="AF25" s="10"/>
      <c r="AG25" s="6"/>
      <c r="AH25" s="7"/>
      <c r="AI25" s="7"/>
      <c r="AJ25" s="10"/>
      <c r="AK25" s="6"/>
      <c r="AL25" s="7"/>
      <c r="AM25" s="7"/>
      <c r="AN25" s="10"/>
      <c r="AO25" s="6"/>
      <c r="AP25" s="7"/>
      <c r="AQ25" s="7"/>
      <c r="AR25" s="10"/>
    </row>
    <row r="26" spans="1:44" x14ac:dyDescent="0.2">
      <c r="A26" s="2"/>
      <c r="B26" s="1" t="s">
        <v>23</v>
      </c>
      <c r="C26" s="2"/>
      <c r="D26" s="2"/>
      <c r="E26" s="2"/>
      <c r="F26" s="2"/>
      <c r="G26" s="1" t="s">
        <v>24</v>
      </c>
      <c r="H26" s="2"/>
      <c r="I26" s="2"/>
      <c r="J26" s="2"/>
      <c r="K26" s="2"/>
      <c r="L26" s="2"/>
      <c r="M26" s="6"/>
      <c r="N26" s="7"/>
      <c r="O26" s="7"/>
      <c r="P26" s="10"/>
      <c r="Q26" s="6"/>
      <c r="R26" s="7"/>
      <c r="S26" s="7"/>
      <c r="T26" s="10"/>
      <c r="U26" s="6"/>
      <c r="V26" s="7"/>
      <c r="W26" s="7"/>
      <c r="X26" s="10"/>
      <c r="Y26" s="6"/>
      <c r="Z26" s="7"/>
      <c r="AA26" s="7"/>
      <c r="AB26" s="10"/>
      <c r="AC26" s="6"/>
      <c r="AD26" s="7"/>
      <c r="AE26" s="7"/>
      <c r="AF26" s="10"/>
      <c r="AG26" s="6"/>
      <c r="AH26" s="7"/>
      <c r="AI26" s="7"/>
      <c r="AJ26" s="10"/>
      <c r="AK26" s="6"/>
      <c r="AL26" s="7"/>
      <c r="AM26" s="7"/>
      <c r="AN26" s="10"/>
      <c r="AO26" s="6"/>
      <c r="AP26" s="7"/>
      <c r="AQ26" s="7"/>
      <c r="AR26" s="10"/>
    </row>
    <row r="27" spans="1:44" x14ac:dyDescent="0.2">
      <c r="A27" s="2"/>
      <c r="B27" s="12" t="s">
        <v>49</v>
      </c>
      <c r="C27" s="2"/>
      <c r="D27" s="2">
        <f>D23+D13</f>
        <v>63.830460770910925</v>
      </c>
      <c r="E27" s="2"/>
      <c r="F27" s="2"/>
      <c r="G27" s="12" t="s">
        <v>50</v>
      </c>
      <c r="H27" s="2"/>
      <c r="I27" s="2">
        <f>D23-I13</f>
        <v>40.855133945400951</v>
      </c>
      <c r="J27" s="2"/>
      <c r="K27" s="2"/>
      <c r="L27" s="2"/>
      <c r="M27" s="6">
        <f>M23+M13</f>
        <v>63.830460770910925</v>
      </c>
      <c r="N27" s="7"/>
      <c r="O27" s="7">
        <f>M23-O13</f>
        <v>40.855133945400951</v>
      </c>
      <c r="P27" s="10"/>
      <c r="Q27" s="6">
        <f>Q23+Q13</f>
        <v>63.226769253480143</v>
      </c>
      <c r="R27" s="7"/>
      <c r="S27" s="7">
        <f>Q23-S13</f>
        <v>42.528717153481381</v>
      </c>
      <c r="T27" s="10"/>
      <c r="U27" s="6">
        <f>U23+U13</f>
        <v>62.427834090482804</v>
      </c>
      <c r="V27" s="7"/>
      <c r="W27" s="7">
        <f>U23-W13</f>
        <v>44.236673881372923</v>
      </c>
      <c r="X27" s="10"/>
      <c r="Y27" s="6">
        <f>Y23+Y13</f>
        <v>61.449464929500216</v>
      </c>
      <c r="Z27" s="7"/>
      <c r="AA27" s="7">
        <f>Y23-AA13</f>
        <v>45.968277420499859</v>
      </c>
      <c r="AB27" s="10"/>
      <c r="AC27" s="6">
        <f>AC23+AC13</f>
        <v>60.309743039819786</v>
      </c>
      <c r="AD27" s="7"/>
      <c r="AE27" s="7">
        <f>AC23-AE13</f>
        <v>47.711799056999091</v>
      </c>
      <c r="AF27" s="10"/>
      <c r="AG27" s="6">
        <f>AG23+AG13</f>
        <v>59.02812767688868</v>
      </c>
      <c r="AH27" s="7"/>
      <c r="AI27" s="7">
        <f>AG23-AI13</f>
        <v>49.45443501659112</v>
      </c>
      <c r="AJ27" s="10"/>
      <c r="AK27" s="6">
        <f>AK23+AK13</f>
        <v>57.624665105917536</v>
      </c>
      <c r="AL27" s="7"/>
      <c r="AM27" s="7">
        <f>AK23-AM13</f>
        <v>51.182240976565964</v>
      </c>
      <c r="AN27" s="10"/>
      <c r="AO27" s="6">
        <f>AO23+AO13</f>
        <v>56.119345919584418</v>
      </c>
      <c r="AP27" s="7"/>
      <c r="AQ27" s="7">
        <f>AO23-AQ13</f>
        <v>52.880083722274158</v>
      </c>
      <c r="AR27" s="10"/>
    </row>
    <row r="28" spans="1:44" x14ac:dyDescent="0.2">
      <c r="A28" s="2"/>
      <c r="B28" s="2" t="s">
        <v>38</v>
      </c>
      <c r="C28" s="2"/>
      <c r="D28" s="2">
        <f>D21-D24</f>
        <v>0.56797197198176719</v>
      </c>
      <c r="E28" s="2"/>
      <c r="F28" s="2"/>
      <c r="G28" s="2" t="s">
        <v>39</v>
      </c>
      <c r="H28" s="2"/>
      <c r="I28" s="2">
        <f>D21+D24</f>
        <v>1.9642353735772309</v>
      </c>
      <c r="J28" s="2"/>
      <c r="K28" s="2"/>
      <c r="L28" s="2"/>
      <c r="M28" s="6">
        <f>M21-M24</f>
        <v>0.56797197198176719</v>
      </c>
      <c r="N28" s="7"/>
      <c r="O28" s="7">
        <f>I21+I24</f>
        <v>0</v>
      </c>
      <c r="P28" s="10"/>
      <c r="Q28" s="6">
        <f>Q21-Q24</f>
        <v>0.56797197198176719</v>
      </c>
      <c r="R28" s="7"/>
      <c r="S28" s="7">
        <f>N21+N24</f>
        <v>0</v>
      </c>
      <c r="T28" s="10"/>
      <c r="U28" s="6">
        <f>U21-U24</f>
        <v>0.56797197198176719</v>
      </c>
      <c r="V28" s="7"/>
      <c r="W28" s="7">
        <f>R21+R24</f>
        <v>0</v>
      </c>
      <c r="X28" s="10"/>
      <c r="Y28" s="6">
        <f>Y21-Y24</f>
        <v>0.56797197198176719</v>
      </c>
      <c r="Z28" s="7"/>
      <c r="AA28" s="7">
        <f>V21+V24</f>
        <v>0</v>
      </c>
      <c r="AB28" s="10"/>
      <c r="AC28" s="6">
        <f>AC21-AC24</f>
        <v>0.56797197198176719</v>
      </c>
      <c r="AD28" s="7"/>
      <c r="AE28" s="7">
        <f>Z21+Z24</f>
        <v>0</v>
      </c>
      <c r="AF28" s="10"/>
      <c r="AG28" s="6">
        <f>AG21-AG24</f>
        <v>0.56797197198176719</v>
      </c>
      <c r="AH28" s="7"/>
      <c r="AI28" s="7">
        <f>AD21+AD24</f>
        <v>0</v>
      </c>
      <c r="AJ28" s="10"/>
      <c r="AK28" s="6">
        <f>AK21-AK24</f>
        <v>0.56797197198176719</v>
      </c>
      <c r="AL28" s="7"/>
      <c r="AM28" s="7">
        <f>AH21+AH24</f>
        <v>0</v>
      </c>
      <c r="AN28" s="10"/>
      <c r="AO28" s="6">
        <f>AO21-AO24</f>
        <v>0.56797197198176719</v>
      </c>
      <c r="AP28" s="7"/>
      <c r="AQ28" s="7">
        <f>AL21+AL24</f>
        <v>0</v>
      </c>
      <c r="AR28" s="10"/>
    </row>
    <row r="29" spans="1:44" x14ac:dyDescent="0.2">
      <c r="A29" s="2"/>
      <c r="B29" s="2"/>
      <c r="C29" s="2"/>
      <c r="D29" s="2" t="s">
        <v>1</v>
      </c>
      <c r="E29" s="2" t="s">
        <v>2</v>
      </c>
      <c r="F29" s="2"/>
      <c r="G29" s="2"/>
      <c r="H29" s="2"/>
      <c r="I29" s="2" t="s">
        <v>1</v>
      </c>
      <c r="J29" s="2" t="s">
        <v>2</v>
      </c>
      <c r="K29" s="2"/>
      <c r="L29" s="2"/>
      <c r="M29" s="6" t="s">
        <v>1</v>
      </c>
      <c r="N29" s="7" t="s">
        <v>2</v>
      </c>
      <c r="O29" s="7" t="s">
        <v>1</v>
      </c>
      <c r="P29" s="10" t="s">
        <v>2</v>
      </c>
      <c r="Q29" s="6" t="s">
        <v>1</v>
      </c>
      <c r="R29" s="7" t="s">
        <v>2</v>
      </c>
      <c r="S29" s="7" t="s">
        <v>1</v>
      </c>
      <c r="T29" s="10" t="s">
        <v>2</v>
      </c>
      <c r="U29" s="6" t="s">
        <v>1</v>
      </c>
      <c r="V29" s="7" t="s">
        <v>2</v>
      </c>
      <c r="W29" s="7" t="s">
        <v>1</v>
      </c>
      <c r="X29" s="10" t="s">
        <v>2</v>
      </c>
      <c r="Y29" s="6" t="s">
        <v>1</v>
      </c>
      <c r="Z29" s="7" t="s">
        <v>2</v>
      </c>
      <c r="AA29" s="7" t="s">
        <v>1</v>
      </c>
      <c r="AB29" s="10" t="s">
        <v>2</v>
      </c>
      <c r="AC29" s="6" t="s">
        <v>1</v>
      </c>
      <c r="AD29" s="7" t="s">
        <v>2</v>
      </c>
      <c r="AE29" s="7" t="s">
        <v>1</v>
      </c>
      <c r="AF29" s="10" t="s">
        <v>2</v>
      </c>
      <c r="AG29" s="6" t="s">
        <v>1</v>
      </c>
      <c r="AH29" s="7" t="s">
        <v>2</v>
      </c>
      <c r="AI29" s="7" t="s">
        <v>1</v>
      </c>
      <c r="AJ29" s="10" t="s">
        <v>2</v>
      </c>
      <c r="AK29" s="6" t="s">
        <v>1</v>
      </c>
      <c r="AL29" s="7" t="s">
        <v>2</v>
      </c>
      <c r="AM29" s="7" t="s">
        <v>1</v>
      </c>
      <c r="AN29" s="10" t="s">
        <v>2</v>
      </c>
      <c r="AO29" s="6" t="s">
        <v>1</v>
      </c>
      <c r="AP29" s="7" t="s">
        <v>2</v>
      </c>
      <c r="AQ29" s="7" t="s">
        <v>1</v>
      </c>
      <c r="AR29" s="10" t="s">
        <v>2</v>
      </c>
    </row>
    <row r="30" spans="1:44" x14ac:dyDescent="0.2">
      <c r="A30" s="2"/>
      <c r="B30" s="2" t="s">
        <v>4</v>
      </c>
      <c r="C30" s="2"/>
      <c r="D30" s="2">
        <f>D16</f>
        <v>0</v>
      </c>
      <c r="E30" s="2">
        <f>E16</f>
        <v>0</v>
      </c>
      <c r="F30" s="2"/>
      <c r="G30" s="2" t="s">
        <v>4</v>
      </c>
      <c r="H30" s="2"/>
      <c r="I30" s="2">
        <f>D16</f>
        <v>0</v>
      </c>
      <c r="J30" s="2">
        <f>E16</f>
        <v>0</v>
      </c>
      <c r="K30" s="2"/>
      <c r="L30" s="2"/>
      <c r="M30" s="6">
        <f>M16</f>
        <v>0</v>
      </c>
      <c r="N30" s="7">
        <f>N16</f>
        <v>0</v>
      </c>
      <c r="O30" s="7">
        <f>M16</f>
        <v>0</v>
      </c>
      <c r="P30" s="10">
        <f>N16</f>
        <v>0</v>
      </c>
      <c r="Q30" s="6">
        <f>Q16</f>
        <v>0</v>
      </c>
      <c r="R30" s="7">
        <f>R16</f>
        <v>0</v>
      </c>
      <c r="S30" s="7">
        <f>Q16</f>
        <v>0</v>
      </c>
      <c r="T30" s="10">
        <f>R16</f>
        <v>0</v>
      </c>
      <c r="U30" s="6">
        <f>U16</f>
        <v>0</v>
      </c>
      <c r="V30" s="7">
        <f>V16</f>
        <v>0</v>
      </c>
      <c r="W30" s="7">
        <f>U16</f>
        <v>0</v>
      </c>
      <c r="X30" s="10">
        <f>V16</f>
        <v>0</v>
      </c>
      <c r="Y30" s="6">
        <f>Y16</f>
        <v>0</v>
      </c>
      <c r="Z30" s="7">
        <f>Z16</f>
        <v>0</v>
      </c>
      <c r="AA30" s="7">
        <f>Y16</f>
        <v>0</v>
      </c>
      <c r="AB30" s="10">
        <f>Z16</f>
        <v>0</v>
      </c>
      <c r="AC30" s="6">
        <f>AC16</f>
        <v>0</v>
      </c>
      <c r="AD30" s="7">
        <f>AD16</f>
        <v>0</v>
      </c>
      <c r="AE30" s="7">
        <f>AC16</f>
        <v>0</v>
      </c>
      <c r="AF30" s="10">
        <f>AD16</f>
        <v>0</v>
      </c>
      <c r="AG30" s="6">
        <f>AG16</f>
        <v>0</v>
      </c>
      <c r="AH30" s="7">
        <f>AH16</f>
        <v>0</v>
      </c>
      <c r="AI30" s="7">
        <f>AG16</f>
        <v>0</v>
      </c>
      <c r="AJ30" s="10">
        <f>AH16</f>
        <v>0</v>
      </c>
      <c r="AK30" s="6">
        <f>AK16</f>
        <v>0</v>
      </c>
      <c r="AL30" s="7">
        <f>AL16</f>
        <v>0</v>
      </c>
      <c r="AM30" s="7">
        <f>AK16</f>
        <v>0</v>
      </c>
      <c r="AN30" s="10">
        <f>AL16</f>
        <v>0</v>
      </c>
      <c r="AO30" s="6">
        <f>AO16</f>
        <v>0</v>
      </c>
      <c r="AP30" s="7">
        <f>AP16</f>
        <v>0</v>
      </c>
      <c r="AQ30" s="7">
        <f>AO16</f>
        <v>0</v>
      </c>
      <c r="AR30" s="10">
        <f>AP16</f>
        <v>0</v>
      </c>
    </row>
    <row r="31" spans="1:44" x14ac:dyDescent="0.2">
      <c r="A31" s="2"/>
      <c r="B31" s="2" t="s">
        <v>54</v>
      </c>
      <c r="C31" s="2"/>
      <c r="D31" s="2"/>
      <c r="E31" s="2">
        <f>SQRT((D18-D17)^2+(E18-E17)^2)</f>
        <v>51.419840528729765</v>
      </c>
      <c r="F31" s="2"/>
      <c r="G31" s="2" t="s">
        <v>54</v>
      </c>
      <c r="H31" s="2"/>
      <c r="I31" s="2"/>
      <c r="J31" s="2">
        <f>SQRT((D18-D17)^2+(E18-E17)^2)</f>
        <v>51.419840528729765</v>
      </c>
      <c r="K31" s="2"/>
      <c r="L31" s="2"/>
      <c r="M31" s="6"/>
      <c r="N31" s="7">
        <f>SQRT((M18-M17)^2+(N18-N17)^2)</f>
        <v>51.419840528729765</v>
      </c>
      <c r="O31" s="7"/>
      <c r="P31" s="10">
        <f>SQRT((M18-M17)^2+(N18-N17)^2)</f>
        <v>51.419840528729765</v>
      </c>
      <c r="Q31" s="6"/>
      <c r="R31" s="7">
        <f>SQRT((Q18-Q17)^2+(R18-R17)^2)</f>
        <v>51.419840528729765</v>
      </c>
      <c r="S31" s="7"/>
      <c r="T31" s="10">
        <f>SQRT((Q18-Q17)^2+(R18-R17)^2)</f>
        <v>51.419840528729765</v>
      </c>
      <c r="U31" s="6"/>
      <c r="V31" s="7">
        <f>SQRT((U18-U17)^2+(V18-V17)^2)</f>
        <v>51.419840528729765</v>
      </c>
      <c r="W31" s="7"/>
      <c r="X31" s="10">
        <f>SQRT((U18-U17)^2+(V18-V17)^2)</f>
        <v>51.419840528729765</v>
      </c>
      <c r="Y31" s="6"/>
      <c r="Z31" s="7">
        <f>SQRT((Y18-Y17)^2+(Z18-Z17)^2)</f>
        <v>51.419840528729765</v>
      </c>
      <c r="AA31" s="7"/>
      <c r="AB31" s="10">
        <f>SQRT((Y18-Y17)^2+(Z18-Z17)^2)</f>
        <v>51.419840528729765</v>
      </c>
      <c r="AC31" s="6"/>
      <c r="AD31" s="7">
        <f>SQRT((AC18-AC17)^2+(AD18-AD17)^2)</f>
        <v>51.419840528729765</v>
      </c>
      <c r="AE31" s="7"/>
      <c r="AF31" s="10">
        <f>SQRT((AC18-AC17)^2+(AD18-AD17)^2)</f>
        <v>51.419840528729765</v>
      </c>
      <c r="AG31" s="6"/>
      <c r="AH31" s="7">
        <f>SQRT((AG18-AG17)^2+(AH18-AH17)^2)</f>
        <v>51.419840528729765</v>
      </c>
      <c r="AI31" s="7"/>
      <c r="AJ31" s="10">
        <f>SQRT((AG18-AG17)^2+(AH18-AH17)^2)</f>
        <v>51.419840528729765</v>
      </c>
      <c r="AK31" s="6"/>
      <c r="AL31" s="7">
        <f>SQRT((AK18-AK17)^2+(AL18-AL17)^2)</f>
        <v>51.419840528729765</v>
      </c>
      <c r="AM31" s="7"/>
      <c r="AN31" s="10">
        <f>SQRT((AK18-AK17)^2+(AL18-AL17)^2)</f>
        <v>51.419840528729765</v>
      </c>
      <c r="AO31" s="6"/>
      <c r="AP31" s="7">
        <f>SQRT((AO18-AO17)^2+(AP18-AP17)^2)</f>
        <v>51.419840528729765</v>
      </c>
      <c r="AQ31" s="7"/>
      <c r="AR31" s="10">
        <f>SQRT((AO18-AO17)^2+(AP18-AP17)^2)</f>
        <v>51.419840528729765</v>
      </c>
    </row>
    <row r="32" spans="1:44" x14ac:dyDescent="0.2">
      <c r="A32" s="2"/>
      <c r="B32" s="2" t="s">
        <v>9</v>
      </c>
      <c r="C32" s="2"/>
      <c r="D32" s="2"/>
      <c r="E32" s="2">
        <f>ATAN(E17/D18)</f>
        <v>0.23554498072086333</v>
      </c>
      <c r="F32" s="2"/>
      <c r="G32" s="2" t="s">
        <v>10</v>
      </c>
      <c r="H32" s="2"/>
      <c r="I32" s="2"/>
      <c r="J32" s="2">
        <f>ATAN(E17/D18)</f>
        <v>0.23554498072086333</v>
      </c>
      <c r="K32" s="2"/>
      <c r="L32" s="2"/>
      <c r="M32" s="6"/>
      <c r="N32" s="7">
        <f>ATAN(N17/M18)</f>
        <v>0.23554498072086333</v>
      </c>
      <c r="O32" s="7"/>
      <c r="P32" s="10">
        <f>ATAN(N17/M18)</f>
        <v>0.23554498072086333</v>
      </c>
      <c r="Q32" s="6"/>
      <c r="R32" s="7">
        <f>ATAN(R17/Q18)</f>
        <v>0.23554498072086333</v>
      </c>
      <c r="S32" s="7"/>
      <c r="T32" s="10">
        <f>ATAN(R17/Q18)</f>
        <v>0.23554498072086333</v>
      </c>
      <c r="U32" s="6"/>
      <c r="V32" s="7">
        <f>ATAN(V17/U18)</f>
        <v>0.23554498072086333</v>
      </c>
      <c r="W32" s="7"/>
      <c r="X32" s="10">
        <f>ATAN(V17/U18)</f>
        <v>0.23554498072086333</v>
      </c>
      <c r="Y32" s="6"/>
      <c r="Z32" s="7">
        <f>ATAN(Z17/Y18)</f>
        <v>0.23554498072086333</v>
      </c>
      <c r="AA32" s="7"/>
      <c r="AB32" s="10">
        <f>ATAN(Z17/Y18)</f>
        <v>0.23554498072086333</v>
      </c>
      <c r="AC32" s="6"/>
      <c r="AD32" s="7">
        <f>ATAN(AD17/AC18)</f>
        <v>0.23554498072086333</v>
      </c>
      <c r="AE32" s="7"/>
      <c r="AF32" s="10">
        <f>ATAN(AD17/AC18)</f>
        <v>0.23554498072086333</v>
      </c>
      <c r="AG32" s="6"/>
      <c r="AH32" s="7">
        <f>ATAN(AH17/AG18)</f>
        <v>0.23554498072086333</v>
      </c>
      <c r="AI32" s="7"/>
      <c r="AJ32" s="10">
        <f>ATAN(AH17/AG18)</f>
        <v>0.23554498072086333</v>
      </c>
      <c r="AK32" s="6"/>
      <c r="AL32" s="7">
        <f>ATAN(AL17/AK18)</f>
        <v>0.23554498072086333</v>
      </c>
      <c r="AM32" s="7"/>
      <c r="AN32" s="10">
        <f>ATAN(AL17/AK18)</f>
        <v>0.23554498072086333</v>
      </c>
      <c r="AO32" s="6"/>
      <c r="AP32" s="7">
        <f>ATAN(AP17/AO18)</f>
        <v>0.23554498072086333</v>
      </c>
      <c r="AQ32" s="7"/>
      <c r="AR32" s="10">
        <f>ATAN(AP17/AO18)</f>
        <v>0.23554498072086333</v>
      </c>
    </row>
    <row r="33" spans="1:44" x14ac:dyDescent="0.2">
      <c r="A33" s="2"/>
      <c r="B33" s="2" t="s">
        <v>11</v>
      </c>
      <c r="C33" s="2"/>
      <c r="D33" s="2"/>
      <c r="E33" s="2">
        <f>ACOS(('Bowden kabel'!$D$11^2+E31^2-D27^2)/(2*'Bowden kabel'!$D$11*E31))</f>
        <v>2.0954794714311977</v>
      </c>
      <c r="F33" s="2"/>
      <c r="G33" s="2" t="s">
        <v>16</v>
      </c>
      <c r="H33" s="2"/>
      <c r="I33" s="2"/>
      <c r="J33" s="2">
        <f>ACOS(('Bowden kabel'!$D$11^2+J31^2-I27^2)/(2*'Bowden kabel'!$D$11*J31))</f>
        <v>0.83867721366516212</v>
      </c>
      <c r="K33" s="2"/>
      <c r="L33" s="2"/>
      <c r="M33" s="6"/>
      <c r="N33" s="7">
        <f>ACOS(('Bowden kabel'!$D$11^2+N31^2-M27^2)/(2*'Bowden kabel'!$D$11*N31))</f>
        <v>2.0954794714311977</v>
      </c>
      <c r="O33" s="7"/>
      <c r="P33" s="10">
        <f>ACOS(('Bowden kabel'!$D$11^2+P31^2-O27^2)/(2*'Bowden kabel'!$D$11*P31))</f>
        <v>0.83867721366516212</v>
      </c>
      <c r="Q33" s="6"/>
      <c r="R33" s="7">
        <f>ACOS(('Bowden kabel'!$D$11^2+R31^2-Q27^2)/(2*'Bowden kabel'!$D$11*R31))</f>
        <v>2.0529022625687627</v>
      </c>
      <c r="S33" s="7"/>
      <c r="T33" s="10">
        <f>ACOS(('Bowden kabel'!$D$11^2+T31^2-S27^2)/(2*'Bowden kabel'!$D$11*T31))</f>
        <v>0.92654624224830306</v>
      </c>
      <c r="U33" s="6"/>
      <c r="V33" s="7">
        <f>ACOS(('Bowden kabel'!$D$11^2+V31^2-U27^2)/(2*'Bowden kabel'!$D$11*V31))</f>
        <v>1.9985601807910913</v>
      </c>
      <c r="W33" s="7"/>
      <c r="X33" s="10">
        <f>ACOS(('Bowden kabel'!$D$11^2+X31^2-W27^2)/(2*'Bowden kabel'!$D$11*X31))</f>
        <v>1.0139056675064557</v>
      </c>
      <c r="Y33" s="6"/>
      <c r="Z33" s="7">
        <f>ACOS(('Bowden kabel'!$D$11^2+Z31^2-Y27^2)/(2*'Bowden kabel'!$D$11*Z31))</f>
        <v>1.9346857039320433</v>
      </c>
      <c r="AA33" s="7"/>
      <c r="AB33" s="10">
        <f>ACOS(('Bowden kabel'!$D$11^2+AB31^2-AA27^2)/(2*'Bowden kabel'!$D$11*AB31))</f>
        <v>1.1011104912233614</v>
      </c>
      <c r="AC33" s="6"/>
      <c r="AD33" s="7">
        <f>ACOS(('Bowden kabel'!$D$11^2+AD31^2-AC27^2)/(2*'Bowden kabel'!$D$11*AD31))</f>
        <v>1.8633953218898585</v>
      </c>
      <c r="AE33" s="7"/>
      <c r="AF33" s="10">
        <f>ACOS(('Bowden kabel'!$D$11^2+AF31^2-AE27^2)/(2*'Bowden kabel'!$D$11*AF31))</f>
        <v>1.1883463296849222</v>
      </c>
      <c r="AG33" s="6"/>
      <c r="AH33" s="7">
        <f>ACOS(('Bowden kabel'!$D$11^2+AH31^2-AG27^2)/(2*'Bowden kabel'!$D$11*AH31))</f>
        <v>1.7865469598450581</v>
      </c>
      <c r="AI33" s="7"/>
      <c r="AJ33" s="10">
        <f>ACOS(('Bowden kabel'!$D$11^2+AJ31^2-AI27^2)/(2*'Bowden kabel'!$D$11*AJ31))</f>
        <v>1.2756606555195664</v>
      </c>
      <c r="AK33" s="6"/>
      <c r="AL33" s="7">
        <f>ACOS(('Bowden kabel'!$D$11^2+AL31^2-AK27^2)/(2*'Bowden kabel'!$D$11*AL31))</f>
        <v>1.7056871735815271</v>
      </c>
      <c r="AM33" s="7"/>
      <c r="AN33" s="10">
        <f>ACOS(('Bowden kabel'!$D$11^2+AN31^2-AM27^2)/(2*'Bowden kabel'!$D$11*AN31))</f>
        <v>1.3629735757504626</v>
      </c>
      <c r="AO33" s="6"/>
      <c r="AP33" s="7">
        <f>ACOS(('Bowden kabel'!$D$11^2+AP31^2-AO27^2)/(2*'Bowden kabel'!$D$11*AP31))</f>
        <v>1.6220543361310911</v>
      </c>
      <c r="AQ33" s="7"/>
      <c r="AR33" s="10">
        <f>ACOS(('Bowden kabel'!$D$11^2+AR31^2-AQ27^2)/(2*'Bowden kabel'!$D$11*AR31))</f>
        <v>1.4500747285331224</v>
      </c>
    </row>
    <row r="34" spans="1:44" x14ac:dyDescent="0.2">
      <c r="A34" s="2"/>
      <c r="B34" s="2" t="s">
        <v>17</v>
      </c>
      <c r="C34" s="2"/>
      <c r="D34" s="2"/>
      <c r="E34" s="2">
        <f>PI()-E33-E32</f>
        <v>0.81056820143773201</v>
      </c>
      <c r="F34" s="2"/>
      <c r="G34" s="2" t="s">
        <v>18</v>
      </c>
      <c r="H34" s="2"/>
      <c r="I34" s="2"/>
      <c r="J34" s="2">
        <f>PI()-J33-J32</f>
        <v>2.0673704592037678</v>
      </c>
      <c r="K34" s="2"/>
      <c r="L34" s="2"/>
      <c r="M34" s="6"/>
      <c r="N34" s="7">
        <f>PI()-N33-N32</f>
        <v>0.81056820143773201</v>
      </c>
      <c r="O34" s="7"/>
      <c r="P34" s="10">
        <f>PI()-P33-P32</f>
        <v>2.0673704592037678</v>
      </c>
      <c r="Q34" s="6"/>
      <c r="R34" s="7">
        <f>PI()-R33-R32</f>
        <v>0.853145410300167</v>
      </c>
      <c r="S34" s="7"/>
      <c r="T34" s="10">
        <f>PI()-T33-T32</f>
        <v>1.9795014306206264</v>
      </c>
      <c r="U34" s="6"/>
      <c r="V34" s="7">
        <f>PI()-V33-V32</f>
        <v>0.90748749207783841</v>
      </c>
      <c r="W34" s="7"/>
      <c r="X34" s="10">
        <f>PI()-X33-X32</f>
        <v>1.892142005362474</v>
      </c>
      <c r="Y34" s="6"/>
      <c r="Z34" s="7">
        <f>PI()-Z33-Z32</f>
        <v>0.97136196893688642</v>
      </c>
      <c r="AA34" s="7"/>
      <c r="AB34" s="10">
        <f>PI()-AB33-AB32</f>
        <v>1.8049371816455684</v>
      </c>
      <c r="AC34" s="6"/>
      <c r="AD34" s="7">
        <f>PI()-AD33-AD32</f>
        <v>1.0426523509790713</v>
      </c>
      <c r="AE34" s="7"/>
      <c r="AF34" s="10">
        <f>PI()-AF33-AF32</f>
        <v>1.7177013431840076</v>
      </c>
      <c r="AG34" s="6"/>
      <c r="AH34" s="7">
        <f>PI()-AH33-AH32</f>
        <v>1.1195007130238717</v>
      </c>
      <c r="AI34" s="7"/>
      <c r="AJ34" s="10">
        <f>PI()-AJ33-AJ32</f>
        <v>1.6303870173493633</v>
      </c>
      <c r="AK34" s="6"/>
      <c r="AL34" s="7">
        <f>PI()-AL33-AL32</f>
        <v>1.2003604992874026</v>
      </c>
      <c r="AM34" s="7"/>
      <c r="AN34" s="10">
        <f>PI()-AN33-AN32</f>
        <v>1.5430740971184671</v>
      </c>
      <c r="AO34" s="6"/>
      <c r="AP34" s="7">
        <f>PI()-AP33-AP32</f>
        <v>1.2839933367378387</v>
      </c>
      <c r="AQ34" s="7"/>
      <c r="AR34" s="10">
        <f>PI()-AR33-AR32</f>
        <v>1.4559729443358074</v>
      </c>
    </row>
    <row r="35" spans="1:44" x14ac:dyDescent="0.2">
      <c r="A35" s="2"/>
      <c r="B35" s="2"/>
      <c r="C35" s="2"/>
      <c r="D35" s="2" t="s">
        <v>1</v>
      </c>
      <c r="E35" s="2" t="s">
        <v>2</v>
      </c>
      <c r="F35" s="2"/>
      <c r="G35" s="2"/>
      <c r="H35" s="2"/>
      <c r="I35" s="2" t="s">
        <v>1</v>
      </c>
      <c r="J35" s="2" t="s">
        <v>2</v>
      </c>
      <c r="K35" s="2"/>
      <c r="L35" s="2"/>
      <c r="M35" s="6" t="s">
        <v>1</v>
      </c>
      <c r="N35" s="7" t="s">
        <v>2</v>
      </c>
      <c r="O35" s="7" t="s">
        <v>1</v>
      </c>
      <c r="P35" s="10" t="s">
        <v>2</v>
      </c>
      <c r="Q35" s="6" t="s">
        <v>1</v>
      </c>
      <c r="R35" s="7" t="s">
        <v>2</v>
      </c>
      <c r="S35" s="7" t="s">
        <v>1</v>
      </c>
      <c r="T35" s="10" t="s">
        <v>2</v>
      </c>
      <c r="U35" s="6" t="s">
        <v>1</v>
      </c>
      <c r="V35" s="7" t="s">
        <v>2</v>
      </c>
      <c r="W35" s="7" t="s">
        <v>1</v>
      </c>
      <c r="X35" s="10" t="s">
        <v>2</v>
      </c>
      <c r="Y35" s="6" t="s">
        <v>1</v>
      </c>
      <c r="Z35" s="7" t="s">
        <v>2</v>
      </c>
      <c r="AA35" s="7" t="s">
        <v>1</v>
      </c>
      <c r="AB35" s="10" t="s">
        <v>2</v>
      </c>
      <c r="AC35" s="6" t="s">
        <v>1</v>
      </c>
      <c r="AD35" s="7" t="s">
        <v>2</v>
      </c>
      <c r="AE35" s="7" t="s">
        <v>1</v>
      </c>
      <c r="AF35" s="10" t="s">
        <v>2</v>
      </c>
      <c r="AG35" s="6" t="s">
        <v>1</v>
      </c>
      <c r="AH35" s="7" t="s">
        <v>2</v>
      </c>
      <c r="AI35" s="7" t="s">
        <v>1</v>
      </c>
      <c r="AJ35" s="10" t="s">
        <v>2</v>
      </c>
      <c r="AK35" s="6" t="s">
        <v>1</v>
      </c>
      <c r="AL35" s="7" t="s">
        <v>2</v>
      </c>
      <c r="AM35" s="7" t="s">
        <v>1</v>
      </c>
      <c r="AN35" s="10" t="s">
        <v>2</v>
      </c>
      <c r="AO35" s="6" t="s">
        <v>1</v>
      </c>
      <c r="AP35" s="7" t="s">
        <v>2</v>
      </c>
      <c r="AQ35" s="7" t="s">
        <v>1</v>
      </c>
      <c r="AR35" s="10" t="s">
        <v>2</v>
      </c>
    </row>
    <row r="36" spans="1:44" x14ac:dyDescent="0.2">
      <c r="A36" s="2"/>
      <c r="B36" s="2" t="s">
        <v>20</v>
      </c>
      <c r="C36" s="2"/>
      <c r="D36" s="2">
        <f>D18+'Bowden kabel'!$D$11*COS(E34)</f>
        <v>63.781735613136227</v>
      </c>
      <c r="E36" s="2">
        <f>E18+'Bowden kabel'!$D$11*SIN(E34)</f>
        <v>14.493576628617681</v>
      </c>
      <c r="F36" s="2"/>
      <c r="G36" s="2" t="s">
        <v>21</v>
      </c>
      <c r="H36" s="2"/>
      <c r="I36" s="2">
        <f>D18+'Bowden kabel'!$D$11*COS(J34)</f>
        <v>40.471675011496067</v>
      </c>
      <c r="J36" s="2">
        <f>E18+'Bowden kabel'!$D$11*SIN(J34)</f>
        <v>17.584397143873073</v>
      </c>
      <c r="K36" s="2"/>
      <c r="L36" s="2"/>
      <c r="M36" s="6">
        <f>M18+'Bowden kabel'!$D$11*COS(N34)</f>
        <v>63.781735613136227</v>
      </c>
      <c r="N36" s="7">
        <f>N18+'Bowden kabel'!$D$11*SIN(N34)</f>
        <v>14.493576628617681</v>
      </c>
      <c r="O36" s="7">
        <f>M18+'Bowden kabel'!$D$11*COS(P34)</f>
        <v>40.471675011496067</v>
      </c>
      <c r="P36" s="10">
        <f>J18+'Bowden kabel'!$D$11*SIN(P34)</f>
        <v>17.584397143873073</v>
      </c>
      <c r="Q36" s="6">
        <f>Q18+'Bowden kabel'!$D$11*COS(R34)</f>
        <v>63.152335997060213</v>
      </c>
      <c r="R36" s="7">
        <f>R18+'Bowden kabel'!$D$11*SIN(R34)</f>
        <v>15.067052061383279</v>
      </c>
      <c r="S36" s="7">
        <f>Q18+'Bowden kabel'!$D$11*COS(T34)</f>
        <v>42.051571642275427</v>
      </c>
      <c r="T36" s="10">
        <f>O18+'Bowden kabel'!$D$11*SIN(T34)</f>
        <v>18.352724229446697</v>
      </c>
      <c r="U36" s="6">
        <f>U18+'Bowden kabel'!$D$11*COS(V34)</f>
        <v>62.314548892163558</v>
      </c>
      <c r="V36" s="7">
        <f>V18+'Bowden kabel'!$D$11*SIN(V34)</f>
        <v>15.759184166146206</v>
      </c>
      <c r="W36" s="7">
        <f>U18+'Bowden kabel'!$D$11*COS(X34)</f>
        <v>43.683127176564305</v>
      </c>
      <c r="X36" s="10">
        <f>S18+'Bowden kabel'!$D$11*SIN(X34)</f>
        <v>18.976225065395372</v>
      </c>
      <c r="Y36" s="6">
        <f>Y18+'Bowden kabel'!$D$11*COS(Z34)</f>
        <v>61.283510769717665</v>
      </c>
      <c r="Z36" s="7">
        <f>Z18+'Bowden kabel'!$D$11*SIN(Z34)</f>
        <v>16.513097368745377</v>
      </c>
      <c r="AA36" s="7">
        <f>Y18+'Bowden kabel'!$D$11*COS(AB34)</f>
        <v>45.359852625960784</v>
      </c>
      <c r="AB36" s="10">
        <f>W18+'Bowden kabel'!$D$11*SIN(AB34)</f>
        <v>19.454280566168386</v>
      </c>
      <c r="AC36" s="6">
        <f>AC18+'Bowden kabel'!$D$11*COS(AD34)</f>
        <v>60.078621611964437</v>
      </c>
      <c r="AD36" s="7">
        <f>AD18+'Bowden kabel'!$D$11*SIN(AD34)</f>
        <v>17.274877319473021</v>
      </c>
      <c r="AE36" s="7">
        <f>AC18+'Bowden kabel'!$D$11*COS(AF34)</f>
        <v>47.072456172991394</v>
      </c>
      <c r="AF36" s="10">
        <f>AA18+'Bowden kabel'!$D$11*SIN(AF34)</f>
        <v>19.784577001819976</v>
      </c>
      <c r="AG36" s="6">
        <f>AG18+'Bowden kabel'!$D$11*COS(AH34)</f>
        <v>58.722636007618739</v>
      </c>
      <c r="AH36" s="7">
        <f>AH18+'Bowden kabel'!$D$11*SIN(AH34)</f>
        <v>17.997655988450081</v>
      </c>
      <c r="AI36" s="7">
        <f>AG18+'Bowden kabel'!$D$11*COS(AJ34)</f>
        <v>48.80889142883381</v>
      </c>
      <c r="AJ36" s="10">
        <f>AE18+'Bowden kabel'!$D$11*SIN(AJ34)</f>
        <v>19.964500003047771</v>
      </c>
      <c r="AK36" s="6">
        <f>AK18+'Bowden kabel'!$D$11*COS(AL34)</f>
        <v>57.240434630233395</v>
      </c>
      <c r="AL36" s="7">
        <f>AL18+'Bowden kabel'!$D$11*SIN(AL34)</f>
        <v>18.643393102257889</v>
      </c>
      <c r="AM36" s="7">
        <f>AK18+'Bowden kabel'!$D$11*COS(AN34)</f>
        <v>50.554373579111115</v>
      </c>
      <c r="AN36" s="10">
        <f>AI18+'Bowden kabel'!$D$11*SIN(AN34)</f>
        <v>19.992315271993476</v>
      </c>
      <c r="AO36" s="6">
        <f>AO18+'Bowden kabel'!$D$11*COS(AP34)</f>
        <v>55.657745075726112</v>
      </c>
      <c r="AP36" s="7">
        <f>AP18+'Bowden kabel'!$D$11*SIN(AP34)</f>
        <v>19.183063380443098</v>
      </c>
      <c r="AQ36" s="7">
        <f>AO18+'Bowden kabel'!$D$11*COS(AR34)</f>
        <v>52.291424713218532</v>
      </c>
      <c r="AR36" s="10">
        <f>AM18+'Bowden kabel'!$D$11*SIN(AR34)</f>
        <v>19.868300701963701</v>
      </c>
    </row>
    <row r="37" spans="1:44" x14ac:dyDescent="0.2">
      <c r="A37" s="2"/>
      <c r="B37" s="2" t="s">
        <v>32</v>
      </c>
      <c r="C37" s="2"/>
      <c r="D37" s="2">
        <f>E34-D22</f>
        <v>-0.64613666716655005</v>
      </c>
      <c r="E37" s="2"/>
      <c r="F37" s="2"/>
      <c r="G37" s="2" t="s">
        <v>34</v>
      </c>
      <c r="H37" s="2"/>
      <c r="I37" s="2">
        <f>J34-D22</f>
        <v>0.61066559059948577</v>
      </c>
      <c r="J37" s="2"/>
      <c r="K37" s="2"/>
      <c r="L37" s="2"/>
      <c r="M37" s="6">
        <f>N34-M22</f>
        <v>-0.64613666716655005</v>
      </c>
      <c r="N37" s="7"/>
      <c r="O37" s="7">
        <f>P34-M22</f>
        <v>0.61066559059948577</v>
      </c>
      <c r="P37" s="10"/>
      <c r="Q37" s="6">
        <f>R34-Q22</f>
        <v>-0.60355945830411506</v>
      </c>
      <c r="R37" s="7"/>
      <c r="S37" s="7">
        <f>T34-Q22</f>
        <v>0.52279656201634439</v>
      </c>
      <c r="T37" s="10"/>
      <c r="U37" s="6">
        <f>V34-U22</f>
        <v>-0.54921737652644365</v>
      </c>
      <c r="V37" s="7"/>
      <c r="W37" s="7">
        <f>X34-U22</f>
        <v>0.43543713675819196</v>
      </c>
      <c r="X37" s="10"/>
      <c r="Y37" s="6">
        <f>Z34-Y22</f>
        <v>-0.48534289966739563</v>
      </c>
      <c r="Z37" s="7"/>
      <c r="AA37" s="7">
        <f>AB34-Y22</f>
        <v>0.34823231304128632</v>
      </c>
      <c r="AB37" s="10"/>
      <c r="AC37" s="6">
        <f>AD34-AC22</f>
        <v>-0.41405251762521078</v>
      </c>
      <c r="AD37" s="7"/>
      <c r="AE37" s="7">
        <f>AF34-AC22</f>
        <v>0.26099647457972552</v>
      </c>
      <c r="AF37" s="10"/>
      <c r="AG37" s="6">
        <f>AH34-AG22</f>
        <v>-0.33720415558041039</v>
      </c>
      <c r="AH37" s="7"/>
      <c r="AI37" s="7">
        <f>AJ34-AG22</f>
        <v>0.17368214874508126</v>
      </c>
      <c r="AJ37" s="10"/>
      <c r="AK37" s="6">
        <f>AL34-AK22</f>
        <v>-0.25634436931687943</v>
      </c>
      <c r="AL37" s="7"/>
      <c r="AM37" s="7">
        <f>AN34-AK22</f>
        <v>8.6369228514185048E-2</v>
      </c>
      <c r="AN37" s="10"/>
      <c r="AO37" s="6">
        <f>AP34-AO22</f>
        <v>-0.17271153186644339</v>
      </c>
      <c r="AP37" s="7"/>
      <c r="AQ37" s="7">
        <f>AR34-AO22</f>
        <v>-7.3192426847468184E-4</v>
      </c>
      <c r="AR37" s="10"/>
    </row>
    <row r="38" spans="1:44" x14ac:dyDescent="0.2">
      <c r="A38" s="2"/>
      <c r="B38" s="2" t="s">
        <v>29</v>
      </c>
      <c r="C38" s="2"/>
      <c r="D38" s="2">
        <f>D18+'Bowden kabel'!$D$13*COS(D37)</f>
        <v>81.936635533647035</v>
      </c>
      <c r="E38" s="2">
        <f>E18+'Bowden kabel'!$D$13*SIN(D37)</f>
        <v>-24.08425441634002</v>
      </c>
      <c r="F38" s="2"/>
      <c r="G38" s="2" t="s">
        <v>35</v>
      </c>
      <c r="H38" s="2"/>
      <c r="I38" s="2">
        <f>D18+'Bowden kabel'!$D$13*COS(I37)</f>
        <v>82.770661644838555</v>
      </c>
      <c r="J38" s="2">
        <f>E18+'Bowden kabel'!$D$13*SIN(I37)</f>
        <v>22.936515327300846</v>
      </c>
      <c r="K38" s="2"/>
      <c r="L38" s="2"/>
      <c r="M38" s="6">
        <f>M18+'Bowden kabel'!$D$13*COS(M37)</f>
        <v>81.936635533647035</v>
      </c>
      <c r="N38" s="2">
        <f>N18+'Bowden kabel'!$D$13*SIN(M37)</f>
        <v>-24.08425441634002</v>
      </c>
      <c r="O38" s="7">
        <f>M18+'Bowden kabel'!$D$13*COS(O37)</f>
        <v>82.770661644838555</v>
      </c>
      <c r="P38" s="10">
        <f>N18+'Bowden kabel'!$D$13*SIN(O37)</f>
        <v>22.936515327300846</v>
      </c>
      <c r="Q38" s="6">
        <f>Q18+'Bowden kabel'!$D$13*COS(Q37)</f>
        <v>82.932822776926514</v>
      </c>
      <c r="R38" s="2">
        <f>R18+'Bowden kabel'!$D$13*SIN(Q37)</f>
        <v>-22.703065518637565</v>
      </c>
      <c r="S38" s="7">
        <f>Q18+'Bowden kabel'!$D$13*COS(S37)</f>
        <v>84.657049274741738</v>
      </c>
      <c r="T38" s="10">
        <f>R18+'Bowden kabel'!$D$13*SIN(S37)</f>
        <v>19.972204073865335</v>
      </c>
      <c r="U38" s="6">
        <f>U18+'Bowden kabel'!$D$13*COS(U37)</f>
        <v>84.117333129081089</v>
      </c>
      <c r="V38" s="2">
        <f>V18+'Bowden kabel'!$D$13*SIN(U37)</f>
        <v>-20.880794528927925</v>
      </c>
      <c r="W38" s="7">
        <f>U18+'Bowden kabel'!$D$13*COS(W37)</f>
        <v>86.267429667289775</v>
      </c>
      <c r="X38" s="10">
        <f>V18+'Bowden kabel'!$D$13*SIN(W37)</f>
        <v>16.872271492842604</v>
      </c>
      <c r="Y38" s="6">
        <f>Y18+'Bowden kabel'!$D$13*COS(Y37)</f>
        <v>85.380601376405963</v>
      </c>
      <c r="Z38" s="2">
        <f>Z18+'Bowden kabel'!$D$13*SIN(Y37)</f>
        <v>-18.660467471203958</v>
      </c>
      <c r="AA38" s="7">
        <f>Y18+'Bowden kabel'!$D$13*COS(AA37)</f>
        <v>87.599095235099014</v>
      </c>
      <c r="AB38" s="10">
        <f>Z18+'Bowden kabel'!$D$13*SIN(AA37)</f>
        <v>13.649470227886303</v>
      </c>
      <c r="AC38" s="6">
        <f>AC18+'Bowden kabel'!$D$13*COS(AC37)</f>
        <v>86.619917001192874</v>
      </c>
      <c r="AD38" s="2">
        <f>AD18+'Bowden kabel'!$D$13*SIN(AC37)</f>
        <v>-16.092907718176484</v>
      </c>
      <c r="AE38" s="7">
        <f>AC18+'Bowden kabel'!$D$13*COS(AE37)</f>
        <v>88.645332965919295</v>
      </c>
      <c r="AF38" s="10">
        <f>AD18+'Bowden kabel'!$D$13*SIN(AE37)</f>
        <v>10.321736285782166</v>
      </c>
      <c r="AG38" s="6">
        <f>AG18+'Bowden kabel'!$D$13*COS(AG37)</f>
        <v>87.747334308189238</v>
      </c>
      <c r="AH38" s="2">
        <f>AH18+'Bowden kabel'!$D$13*SIN(AG37)</f>
        <v>-13.233999872517728</v>
      </c>
      <c r="AI38" s="7">
        <f>AG18+'Bowden kabel'!$D$13*COS(AI37)</f>
        <v>89.398205294530015</v>
      </c>
      <c r="AJ38" s="10">
        <f>AH18+'Bowden kabel'!$D$13*SIN(AI37)</f>
        <v>6.9124105469848827</v>
      </c>
      <c r="AK38" s="6">
        <f>AK18+'Bowden kabel'!$D$13*COS(AK37)</f>
        <v>88.692932414410507</v>
      </c>
      <c r="AL38" s="2">
        <f>AL18+'Bowden kabel'!$D$13*SIN(AK37)</f>
        <v>-10.141843085645803</v>
      </c>
      <c r="AM38" s="7">
        <f>AK18+'Bowden kabel'!$D$13*COS(AM37)</f>
        <v>89.850899848064415</v>
      </c>
      <c r="AN38" s="10">
        <f>AL18+'Bowden kabel'!$D$13*SIN(AM37)</f>
        <v>3.4504755178872664</v>
      </c>
      <c r="AO38" s="6">
        <f>AO18+'Bowden kabel'!$D$13*COS(AO37)</f>
        <v>89.404896037358995</v>
      </c>
      <c r="AP38" s="2">
        <f>AP18+'Bowden kabel'!$D$13*SIN(AO37)</f>
        <v>-6.8741667338615633</v>
      </c>
      <c r="AQ38" s="7">
        <f>AO18+'Bowden kabel'!$D$13*COS(AQ37)</f>
        <v>89.999989285737783</v>
      </c>
      <c r="AR38" s="10">
        <f>AP18+'Bowden kabel'!$D$13*SIN(AQ37)</f>
        <v>-2.9276968124977713E-2</v>
      </c>
    </row>
    <row r="39" spans="1:44" x14ac:dyDescent="0.2">
      <c r="A39" s="2"/>
      <c r="B39" s="2" t="s">
        <v>30</v>
      </c>
      <c r="C39" s="2"/>
      <c r="D39" s="2">
        <f>-'Bowden kabel'!$D$14+DEGREES(D37)</f>
        <v>-32.020904017292509</v>
      </c>
      <c r="E39" s="2"/>
      <c r="F39" s="2"/>
      <c r="G39" s="2" t="s">
        <v>36</v>
      </c>
      <c r="H39" s="2"/>
      <c r="I39" s="2">
        <f>-'Bowden kabel'!$D$14+DEGREES(I37)</f>
        <v>39.988561035214332</v>
      </c>
      <c r="J39" s="2"/>
      <c r="K39" s="2"/>
      <c r="L39" s="2"/>
      <c r="M39" s="6">
        <f>-'Bowden kabel'!$D$14+DEGREES(M37)</f>
        <v>-32.020904017292509</v>
      </c>
      <c r="N39" s="7"/>
      <c r="O39" s="7">
        <f>-'Bowden kabel'!$D$14+DEGREES(O37)</f>
        <v>39.988561035214332</v>
      </c>
      <c r="P39" s="10"/>
      <c r="Q39" s="6">
        <f>-'Bowden kabel'!$D$14+DEGREES(Q37)</f>
        <v>-29.581409646027979</v>
      </c>
      <c r="R39" s="7"/>
      <c r="S39" s="7">
        <f>-'Bowden kabel'!$D$14+DEGREES(S37)</f>
        <v>34.954036547485941</v>
      </c>
      <c r="T39" s="10"/>
      <c r="U39" s="6">
        <f>-'Bowden kabel'!$D$14+DEGREES(U37)</f>
        <v>-26.467837710212631</v>
      </c>
      <c r="V39" s="7"/>
      <c r="W39" s="7">
        <f>-'Bowden kabel'!$D$14+DEGREES(W37)</f>
        <v>29.948710179505241</v>
      </c>
      <c r="X39" s="10"/>
      <c r="Y39" s="6">
        <f>-'Bowden kabel'!$D$14+DEGREES(Y37)</f>
        <v>-22.808099767583137</v>
      </c>
      <c r="Z39" s="7"/>
      <c r="AA39" s="7">
        <f>-'Bowden kabel'!$D$14+DEGREES(AA37)</f>
        <v>24.952241827344203</v>
      </c>
      <c r="AB39" s="10"/>
      <c r="AC39" s="6">
        <f>-'Bowden kabel'!$D$14+DEGREES(AC37)</f>
        <v>-18.72346175669071</v>
      </c>
      <c r="AD39" s="7"/>
      <c r="AE39" s="7">
        <f>-'Bowden kabel'!$D$14+DEGREES(AE37)</f>
        <v>19.953996461211752</v>
      </c>
      <c r="AF39" s="10"/>
      <c r="AG39" s="6">
        <f>-'Bowden kabel'!$D$14+DEGREES(AG37)</f>
        <v>-14.320374949030303</v>
      </c>
      <c r="AH39" s="7"/>
      <c r="AI39" s="7">
        <f>-'Bowden kabel'!$D$14+DEGREES(AI37)</f>
        <v>14.951254099856543</v>
      </c>
      <c r="AJ39" s="10"/>
      <c r="AK39" s="6">
        <f>-'Bowden kabel'!$D$14+DEGREES(AK37)</f>
        <v>-9.6874504638000687</v>
      </c>
      <c r="AL39" s="7"/>
      <c r="AM39" s="7">
        <f>-'Bowden kabel'!$D$14+DEGREES(AM37)</f>
        <v>9.9485922736637704</v>
      </c>
      <c r="AN39" s="10"/>
      <c r="AO39" s="6">
        <f>-'Bowden kabel'!$D$14+DEGREES(AO37)</f>
        <v>-4.8956418491864326</v>
      </c>
      <c r="AP39" s="7"/>
      <c r="AQ39" s="7">
        <f>-'Bowden kabel'!$D$14+DEGREES(AQ37)</f>
        <v>4.9580638284932004</v>
      </c>
      <c r="AR39" s="10"/>
    </row>
    <row r="40" spans="1:44" ht="13.5" thickBot="1" x14ac:dyDescent="0.25">
      <c r="A40" s="2"/>
      <c r="B40" s="2" t="s">
        <v>31</v>
      </c>
      <c r="C40" s="2"/>
      <c r="D40" s="2">
        <f>SQRT((D20-D38)^2+(E20-E38)^2)</f>
        <v>22.065016518122437</v>
      </c>
      <c r="E40" s="2"/>
      <c r="F40" s="2"/>
      <c r="G40" s="2" t="s">
        <v>37</v>
      </c>
      <c r="H40" s="2"/>
      <c r="I40" s="2">
        <f>SQRT((D20-I38)^2+(E20-J38)^2)</f>
        <v>27.354107034735758</v>
      </c>
      <c r="J40" s="2"/>
      <c r="K40" s="2"/>
      <c r="L40" s="2"/>
      <c r="M40" s="8">
        <f>SQRT((M20-M38)^2+(N20-N38)^2)</f>
        <v>22.065016518122437</v>
      </c>
      <c r="N40" s="9"/>
      <c r="O40" s="9">
        <f>SQRT((M20-O38)^2+(N20-P38)^2)</f>
        <v>27.354107034735758</v>
      </c>
      <c r="P40" s="11"/>
      <c r="Q40" s="8">
        <f>SQRT((Q20-Q38)^2+(R20-R38)^2)</f>
        <v>20.423112433721013</v>
      </c>
      <c r="R40" s="9"/>
      <c r="S40" s="9">
        <f>SQRT((Q20-S38)^2+(R20-T38)^2)</f>
        <v>24.025858638331226</v>
      </c>
      <c r="T40" s="11"/>
      <c r="U40" s="8">
        <f>SQRT((U20-U38)^2+(V20-V38)^2)</f>
        <v>18.314174766993158</v>
      </c>
      <c r="V40" s="9"/>
      <c r="W40" s="9">
        <f>SQRT((U20-W38)^2+(V20-X38)^2)</f>
        <v>20.670934581347751</v>
      </c>
      <c r="X40" s="11"/>
      <c r="Y40" s="8">
        <f>SQRT((Y20-Y38)^2+(Z20-Z38)^2)</f>
        <v>15.818130334664907</v>
      </c>
      <c r="Z40" s="9"/>
      <c r="AA40" s="9">
        <f>SQRT((Y20-AA38)^2+(Z20-AB38)^2)</f>
        <v>17.282616444442031</v>
      </c>
      <c r="AB40" s="11"/>
      <c r="AC40" s="8">
        <f>SQRT((AC20-AC38)^2+(AD20-AD38)^2)</f>
        <v>13.013357794834297</v>
      </c>
      <c r="AD40" s="9"/>
      <c r="AE40" s="9">
        <f>SQRT((AC20-AE38)^2+(AD20-AF38)^2)</f>
        <v>13.860224488207557</v>
      </c>
      <c r="AF40" s="11"/>
      <c r="AG40" s="8">
        <f>SQRT((AG20-AG38)^2+(AH20-AH38)^2)</f>
        <v>9.9715058308102371</v>
      </c>
      <c r="AH40" s="9"/>
      <c r="AI40" s="9">
        <f>SQRT((AG20-AI38)^2+(AH20-AJ38)^2)</f>
        <v>10.40835451609248</v>
      </c>
      <c r="AJ40" s="11"/>
      <c r="AK40" s="8">
        <f>SQRT((AK20-AK38)^2+(AL20-AL38)^2)</f>
        <v>6.7550633346097353</v>
      </c>
      <c r="AL40" s="9"/>
      <c r="AM40" s="9">
        <f>SQRT((AK20-AM38)^2+(AL20-AN38)^2)</f>
        <v>6.9367059258247643</v>
      </c>
      <c r="AN40" s="11"/>
      <c r="AO40" s="8">
        <f>SQRT((AO20-AO38)^2+(AP20-AP38)^2)</f>
        <v>3.4167631614214384</v>
      </c>
      <c r="AP40" s="9"/>
      <c r="AQ40" s="9">
        <f>SQRT((AO20-AQ38)^2+(AP20-AR38)^2)</f>
        <v>3.4603016506548858</v>
      </c>
      <c r="AR40" s="11"/>
    </row>
    <row r="41" spans="1:44" ht="13.5" thickBot="1" x14ac:dyDescent="0.25">
      <c r="A41" s="2"/>
      <c r="B41" s="2"/>
      <c r="C41" s="2"/>
      <c r="D41" s="2"/>
      <c r="E41" s="2"/>
      <c r="F41" s="2"/>
      <c r="G41" s="2"/>
      <c r="H41" s="2"/>
      <c r="I41" s="2"/>
      <c r="J41" s="2"/>
      <c r="K41" s="2"/>
      <c r="L41" s="2"/>
      <c r="M41" s="35" t="s">
        <v>1</v>
      </c>
      <c r="N41" s="36" t="s">
        <v>2</v>
      </c>
      <c r="O41" s="37"/>
      <c r="P41" s="38" t="s">
        <v>134</v>
      </c>
      <c r="Q41" s="35" t="s">
        <v>1</v>
      </c>
      <c r="R41" s="36" t="s">
        <v>2</v>
      </c>
      <c r="S41" s="37"/>
      <c r="T41" s="38" t="s">
        <v>135</v>
      </c>
      <c r="U41" s="35" t="s">
        <v>1</v>
      </c>
      <c r="V41" s="36" t="s">
        <v>2</v>
      </c>
      <c r="W41" s="37"/>
      <c r="X41" s="38" t="s">
        <v>136</v>
      </c>
      <c r="Y41" s="35" t="s">
        <v>1</v>
      </c>
      <c r="Z41" s="36" t="s">
        <v>2</v>
      </c>
      <c r="AA41" s="37"/>
      <c r="AB41" s="38" t="s">
        <v>137</v>
      </c>
      <c r="AC41" s="35" t="s">
        <v>1</v>
      </c>
      <c r="AD41" s="36" t="s">
        <v>2</v>
      </c>
      <c r="AE41" s="37"/>
      <c r="AF41" s="38" t="s">
        <v>138</v>
      </c>
      <c r="AG41" s="35" t="s">
        <v>1</v>
      </c>
      <c r="AH41" s="36" t="s">
        <v>2</v>
      </c>
      <c r="AI41" s="37"/>
      <c r="AJ41" s="38" t="s">
        <v>139</v>
      </c>
      <c r="AK41" s="35" t="s">
        <v>1</v>
      </c>
      <c r="AL41" s="36" t="s">
        <v>2</v>
      </c>
      <c r="AM41" s="37"/>
      <c r="AN41" s="38" t="s">
        <v>140</v>
      </c>
      <c r="AO41" s="35" t="s">
        <v>1</v>
      </c>
      <c r="AP41" s="36" t="s">
        <v>2</v>
      </c>
      <c r="AQ41" s="37"/>
      <c r="AR41" s="38" t="s">
        <v>141</v>
      </c>
    </row>
    <row r="42" spans="1:44" ht="13.5" thickBot="1" x14ac:dyDescent="0.25">
      <c r="A42" s="2"/>
      <c r="B42" s="2"/>
      <c r="C42" s="2"/>
      <c r="D42" s="2"/>
      <c r="E42" s="2"/>
      <c r="F42" s="2"/>
      <c r="G42" s="2"/>
      <c r="H42" s="2"/>
      <c r="I42" s="3" t="s">
        <v>143</v>
      </c>
      <c r="J42" s="4"/>
      <c r="K42" s="5"/>
      <c r="L42" s="2"/>
      <c r="M42" s="6">
        <v>0</v>
      </c>
      <c r="N42" s="7">
        <v>0</v>
      </c>
      <c r="O42" s="7"/>
      <c r="P42" s="10"/>
      <c r="Q42" s="6">
        <v>0</v>
      </c>
      <c r="R42" s="7">
        <v>0</v>
      </c>
      <c r="S42" s="7"/>
      <c r="T42" s="10"/>
      <c r="U42" s="6">
        <v>0</v>
      </c>
      <c r="V42" s="7">
        <v>0</v>
      </c>
      <c r="W42" s="7"/>
      <c r="X42" s="10"/>
      <c r="Y42" s="6">
        <v>0</v>
      </c>
      <c r="Z42" s="7">
        <v>0</v>
      </c>
      <c r="AA42" s="7"/>
      <c r="AB42" s="10"/>
      <c r="AC42" s="6">
        <v>0</v>
      </c>
      <c r="AD42" s="7">
        <v>0</v>
      </c>
      <c r="AE42" s="7"/>
      <c r="AF42" s="10"/>
      <c r="AG42" s="6">
        <v>0</v>
      </c>
      <c r="AH42" s="7">
        <v>0</v>
      </c>
      <c r="AI42" s="7"/>
      <c r="AJ42" s="10"/>
      <c r="AK42" s="6">
        <v>0</v>
      </c>
      <c r="AL42" s="7">
        <v>0</v>
      </c>
      <c r="AM42" s="7"/>
      <c r="AN42" s="10"/>
      <c r="AO42" s="6">
        <v>0</v>
      </c>
      <c r="AP42" s="7">
        <v>0</v>
      </c>
      <c r="AQ42" s="7"/>
      <c r="AR42" s="10"/>
    </row>
    <row r="43" spans="1:44" x14ac:dyDescent="0.2">
      <c r="A43" s="2"/>
      <c r="B43" s="3" t="s">
        <v>25</v>
      </c>
      <c r="C43" s="4"/>
      <c r="D43" s="4"/>
      <c r="E43" s="4"/>
      <c r="F43" s="4"/>
      <c r="G43" s="5"/>
      <c r="H43" s="2"/>
      <c r="I43" s="33" t="s">
        <v>118</v>
      </c>
      <c r="J43" s="7">
        <f>-'Bowden kabel'!$D$15</f>
        <v>-40</v>
      </c>
      <c r="K43" s="10">
        <f>M39</f>
        <v>-32.020904017292509</v>
      </c>
      <c r="L43" s="2"/>
      <c r="M43" s="6">
        <f>'Bowden kabel'!$D$8</f>
        <v>6</v>
      </c>
      <c r="N43" s="7">
        <f>SQRT('Bowden kabel'!$D$7^2-'Bowden kabel'!$D$8^2)</f>
        <v>19.078784028338912</v>
      </c>
      <c r="O43" s="7"/>
      <c r="P43" s="10"/>
      <c r="Q43" s="6">
        <f>'Bowden kabel'!$D$8</f>
        <v>6</v>
      </c>
      <c r="R43" s="7">
        <f>SQRT('Bowden kabel'!$D$7^2-'Bowden kabel'!$D$8^2)</f>
        <v>19.078784028338912</v>
      </c>
      <c r="S43" s="7"/>
      <c r="T43" s="10"/>
      <c r="U43" s="6">
        <f>'Bowden kabel'!$D$8</f>
        <v>6</v>
      </c>
      <c r="V43" s="7">
        <f>SQRT('Bowden kabel'!$D$7^2-'Bowden kabel'!$D$8^2)</f>
        <v>19.078784028338912</v>
      </c>
      <c r="W43" s="7"/>
      <c r="X43" s="10"/>
      <c r="Y43" s="6">
        <f>'Bowden kabel'!$D$8</f>
        <v>6</v>
      </c>
      <c r="Z43" s="7">
        <f>SQRT('Bowden kabel'!$D$7^2-'Bowden kabel'!$D$8^2)</f>
        <v>19.078784028338912</v>
      </c>
      <c r="AA43" s="7"/>
      <c r="AB43" s="10"/>
      <c r="AC43" s="6">
        <f>'Bowden kabel'!$D$8</f>
        <v>6</v>
      </c>
      <c r="AD43" s="7">
        <f>SQRT('Bowden kabel'!$D$7^2-'Bowden kabel'!$D$8^2)</f>
        <v>19.078784028338912</v>
      </c>
      <c r="AE43" s="7"/>
      <c r="AF43" s="10"/>
      <c r="AG43" s="6">
        <f>'Bowden kabel'!$D$8</f>
        <v>6</v>
      </c>
      <c r="AH43" s="7">
        <f>SQRT('Bowden kabel'!$D$7^2-'Bowden kabel'!$D$8^2)</f>
        <v>19.078784028338912</v>
      </c>
      <c r="AI43" s="7"/>
      <c r="AJ43" s="10"/>
      <c r="AK43" s="6">
        <f>'Bowden kabel'!$D$8</f>
        <v>6</v>
      </c>
      <c r="AL43" s="7">
        <f>SQRT('Bowden kabel'!$D$7^2-'Bowden kabel'!$D$8^2)</f>
        <v>19.078784028338912</v>
      </c>
      <c r="AM43" s="7"/>
      <c r="AN43" s="10"/>
      <c r="AO43" s="6">
        <f>'Bowden kabel'!$D$8</f>
        <v>6</v>
      </c>
      <c r="AP43" s="7">
        <f>SQRT('Bowden kabel'!$D$7^2-'Bowden kabel'!$D$8^2)</f>
        <v>19.078784028338912</v>
      </c>
      <c r="AQ43" s="7"/>
      <c r="AR43" s="10"/>
    </row>
    <row r="44" spans="1:44" x14ac:dyDescent="0.2">
      <c r="A44" s="2"/>
      <c r="B44" s="6"/>
      <c r="C44" s="50" t="s">
        <v>1</v>
      </c>
      <c r="D44" s="50" t="s">
        <v>2</v>
      </c>
      <c r="E44" s="50"/>
      <c r="F44" s="50" t="s">
        <v>1</v>
      </c>
      <c r="G44" s="51" t="s">
        <v>2</v>
      </c>
      <c r="H44" s="2"/>
      <c r="I44" s="33" t="s">
        <v>126</v>
      </c>
      <c r="J44" s="7">
        <f>-'Bowden kabel'!$D$15*7/8</f>
        <v>-35</v>
      </c>
      <c r="K44" s="10">
        <f>Q39</f>
        <v>-29.581409646027979</v>
      </c>
      <c r="L44" s="2"/>
      <c r="M44" s="6">
        <f>ACOS('Bowden kabel'!$D$8/'Bowden kabel'!$D$7)</f>
        <v>1.266103672779499</v>
      </c>
      <c r="N44" s="7"/>
      <c r="O44" s="7"/>
      <c r="P44" s="10"/>
      <c r="Q44" s="6">
        <f>ACOS('Bowden kabel'!$D$8/'Bowden kabel'!$D$7)</f>
        <v>1.266103672779499</v>
      </c>
      <c r="R44" s="7"/>
      <c r="S44" s="7"/>
      <c r="T44" s="10"/>
      <c r="U44" s="6">
        <f>ACOS('Bowden kabel'!$D$8/'Bowden kabel'!$D$7)</f>
        <v>1.266103672779499</v>
      </c>
      <c r="V44" s="7"/>
      <c r="W44" s="7"/>
      <c r="X44" s="10"/>
      <c r="Y44" s="6">
        <f>ACOS('Bowden kabel'!$D$8/'Bowden kabel'!$D$7)</f>
        <v>1.266103672779499</v>
      </c>
      <c r="Z44" s="7"/>
      <c r="AA44" s="7"/>
      <c r="AB44" s="10"/>
      <c r="AC44" s="6">
        <f>ACOS('Bowden kabel'!$D$8/'Bowden kabel'!$D$7)</f>
        <v>1.266103672779499</v>
      </c>
      <c r="AD44" s="7"/>
      <c r="AE44" s="7"/>
      <c r="AF44" s="10"/>
      <c r="AG44" s="6">
        <f>ACOS('Bowden kabel'!$D$8/'Bowden kabel'!$D$7)</f>
        <v>1.266103672779499</v>
      </c>
      <c r="AH44" s="7"/>
      <c r="AI44" s="7"/>
      <c r="AJ44" s="10"/>
      <c r="AK44" s="6">
        <f>ACOS('Bowden kabel'!$D$8/'Bowden kabel'!$D$7)</f>
        <v>1.266103672779499</v>
      </c>
      <c r="AL44" s="7"/>
      <c r="AM44" s="7"/>
      <c r="AN44" s="10"/>
      <c r="AO44" s="6">
        <f>ACOS('Bowden kabel'!$D$8/'Bowden kabel'!$D$7)</f>
        <v>1.266103672779499</v>
      </c>
      <c r="AP44" s="7"/>
      <c r="AQ44" s="7"/>
      <c r="AR44" s="10"/>
    </row>
    <row r="45" spans="1:44" x14ac:dyDescent="0.2">
      <c r="A45" s="2"/>
      <c r="B45" s="6" t="s">
        <v>22</v>
      </c>
      <c r="C45" s="50">
        <f>D3</f>
        <v>0</v>
      </c>
      <c r="D45" s="50">
        <f>E3</f>
        <v>0</v>
      </c>
      <c r="E45" s="50"/>
      <c r="F45" s="50">
        <f>'Bowden kabel'!D5+30</f>
        <v>90</v>
      </c>
      <c r="G45" s="51">
        <f>'Bowden kabel'!D10</f>
        <v>12</v>
      </c>
      <c r="H45" s="2"/>
      <c r="I45" s="33" t="s">
        <v>127</v>
      </c>
      <c r="J45" s="7">
        <f>-'Bowden kabel'!$D$15*6/8</f>
        <v>-30</v>
      </c>
      <c r="K45" s="10">
        <f>U39</f>
        <v>-26.467837710212631</v>
      </c>
      <c r="L45" s="2"/>
      <c r="M45" s="6">
        <f>'Bowden kabel'!$D$5</f>
        <v>60</v>
      </c>
      <c r="N45" s="7">
        <f>'Bowden kabel'!$D$6</f>
        <v>23</v>
      </c>
      <c r="O45" s="7"/>
      <c r="P45" s="10"/>
      <c r="Q45" s="6">
        <f>'Bowden kabel'!$D$5</f>
        <v>60</v>
      </c>
      <c r="R45" s="7">
        <f>'Bowden kabel'!$D$6</f>
        <v>23</v>
      </c>
      <c r="S45" s="7"/>
      <c r="T45" s="10"/>
      <c r="U45" s="6">
        <f>'Bowden kabel'!$D$5</f>
        <v>60</v>
      </c>
      <c r="V45" s="7">
        <f>'Bowden kabel'!$D$6</f>
        <v>23</v>
      </c>
      <c r="W45" s="7"/>
      <c r="X45" s="10"/>
      <c r="Y45" s="6">
        <f>'Bowden kabel'!$D$5</f>
        <v>60</v>
      </c>
      <c r="Z45" s="7">
        <f>'Bowden kabel'!$D$6</f>
        <v>23</v>
      </c>
      <c r="AA45" s="7"/>
      <c r="AB45" s="10"/>
      <c r="AC45" s="6">
        <f>'Bowden kabel'!$D$5</f>
        <v>60</v>
      </c>
      <c r="AD45" s="7">
        <f>'Bowden kabel'!$D$6</f>
        <v>23</v>
      </c>
      <c r="AE45" s="7"/>
      <c r="AF45" s="10"/>
      <c r="AG45" s="6">
        <f>'Bowden kabel'!$D$5</f>
        <v>60</v>
      </c>
      <c r="AH45" s="7">
        <f>'Bowden kabel'!$D$6</f>
        <v>23</v>
      </c>
      <c r="AI45" s="7"/>
      <c r="AJ45" s="10"/>
      <c r="AK45" s="6">
        <f>'Bowden kabel'!$D$5</f>
        <v>60</v>
      </c>
      <c r="AL45" s="7">
        <f>'Bowden kabel'!$D$6</f>
        <v>23</v>
      </c>
      <c r="AM45" s="7"/>
      <c r="AN45" s="10"/>
      <c r="AO45" s="6">
        <f>'Bowden kabel'!$D$5</f>
        <v>60</v>
      </c>
      <c r="AP45" s="7">
        <f>'Bowden kabel'!$D$6</f>
        <v>23</v>
      </c>
      <c r="AQ45" s="7"/>
      <c r="AR45" s="10"/>
    </row>
    <row r="46" spans="1:44" x14ac:dyDescent="0.2">
      <c r="A46" s="2"/>
      <c r="B46" s="6"/>
      <c r="C46" s="50">
        <f>D4</f>
        <v>6</v>
      </c>
      <c r="D46" s="50">
        <f>E4</f>
        <v>19.078784028338912</v>
      </c>
      <c r="E46" s="50"/>
      <c r="F46" s="50">
        <f>F45+D19</f>
        <v>144</v>
      </c>
      <c r="G46" s="51">
        <f>E19</f>
        <v>19.595917942265423</v>
      </c>
      <c r="H46" s="2"/>
      <c r="I46" s="33" t="s">
        <v>128</v>
      </c>
      <c r="J46" s="7">
        <f>-'Bowden kabel'!$D$15*5/8</f>
        <v>-25</v>
      </c>
      <c r="K46" s="10">
        <f>Y39</f>
        <v>-22.808099767583137</v>
      </c>
      <c r="L46" s="2"/>
      <c r="M46" s="6">
        <f>SQRT(($D$6-$D$4)^2+($E$4-$E$6)^2)</f>
        <v>54.142182581573209</v>
      </c>
      <c r="N46" s="7"/>
      <c r="O46" s="7"/>
      <c r="P46" s="10"/>
      <c r="Q46" s="6">
        <f>SQRT(($D$6-$D$4)^2+($E$4-$E$6)^2)</f>
        <v>54.142182581573209</v>
      </c>
      <c r="R46" s="7"/>
      <c r="S46" s="7"/>
      <c r="T46" s="10"/>
      <c r="U46" s="6">
        <f>SQRT(($D$6-$D$4)^2+($E$4-$E$6)^2)</f>
        <v>54.142182581573209</v>
      </c>
      <c r="V46" s="7"/>
      <c r="W46" s="7"/>
      <c r="X46" s="10"/>
      <c r="Y46" s="6">
        <f>SQRT(($D$6-$D$4)^2+($E$4-$E$6)^2)</f>
        <v>54.142182581573209</v>
      </c>
      <c r="Z46" s="7"/>
      <c r="AA46" s="7"/>
      <c r="AB46" s="10"/>
      <c r="AC46" s="6">
        <f>SQRT(($D$6-$D$4)^2+($E$4-$E$6)^2)</f>
        <v>54.142182581573209</v>
      </c>
      <c r="AD46" s="7"/>
      <c r="AE46" s="7"/>
      <c r="AF46" s="10"/>
      <c r="AG46" s="6">
        <f>SQRT(($D$6-$D$4)^2+($E$4-$E$6)^2)</f>
        <v>54.142182581573209</v>
      </c>
      <c r="AH46" s="7"/>
      <c r="AI46" s="7"/>
      <c r="AJ46" s="10"/>
      <c r="AK46" s="6">
        <f>SQRT(($D$6-$D$4)^2+($E$4-$E$6)^2)</f>
        <v>54.142182581573209</v>
      </c>
      <c r="AL46" s="7"/>
      <c r="AM46" s="7"/>
      <c r="AN46" s="10"/>
      <c r="AO46" s="6">
        <f>SQRT(($D$6-$D$4)^2+($E$4-$E$6)^2)</f>
        <v>54.142182581573209</v>
      </c>
      <c r="AP46" s="7"/>
      <c r="AQ46" s="7"/>
      <c r="AR46" s="10"/>
    </row>
    <row r="47" spans="1:44" x14ac:dyDescent="0.2">
      <c r="A47" s="2"/>
      <c r="B47" s="6"/>
      <c r="C47" s="50">
        <f>D6</f>
        <v>60</v>
      </c>
      <c r="D47" s="50">
        <f>E6</f>
        <v>23</v>
      </c>
      <c r="E47" s="50"/>
      <c r="F47" s="50">
        <f>F45+D18</f>
        <v>140</v>
      </c>
      <c r="G47" s="51">
        <f>E18</f>
        <v>0</v>
      </c>
      <c r="H47" s="2"/>
      <c r="I47" s="33" t="s">
        <v>129</v>
      </c>
      <c r="J47" s="7">
        <f>-'Bowden kabel'!$D$15*4/8</f>
        <v>-20</v>
      </c>
      <c r="K47" s="10">
        <f>AC39</f>
        <v>-18.72346175669071</v>
      </c>
      <c r="L47" s="2"/>
      <c r="M47" s="6"/>
      <c r="N47" s="7"/>
      <c r="O47" s="7"/>
      <c r="P47" s="10"/>
      <c r="Q47" s="6"/>
      <c r="R47" s="7"/>
      <c r="S47" s="7"/>
      <c r="T47" s="10"/>
      <c r="U47" s="6"/>
      <c r="V47" s="7"/>
      <c r="W47" s="7"/>
      <c r="X47" s="10"/>
      <c r="Y47" s="6"/>
      <c r="Z47" s="7"/>
      <c r="AA47" s="7"/>
      <c r="AB47" s="10"/>
      <c r="AC47" s="6"/>
      <c r="AD47" s="7"/>
      <c r="AE47" s="7"/>
      <c r="AF47" s="10"/>
      <c r="AG47" s="6"/>
      <c r="AH47" s="7"/>
      <c r="AI47" s="7"/>
      <c r="AJ47" s="10"/>
      <c r="AK47" s="6"/>
      <c r="AL47" s="7"/>
      <c r="AM47" s="7"/>
      <c r="AN47" s="10"/>
      <c r="AO47" s="6"/>
      <c r="AP47" s="7"/>
      <c r="AQ47" s="7"/>
      <c r="AR47" s="10"/>
    </row>
    <row r="48" spans="1:44" x14ac:dyDescent="0.2">
      <c r="A48" s="2"/>
      <c r="B48" s="6"/>
      <c r="C48" s="50"/>
      <c r="D48" s="50"/>
      <c r="E48" s="50"/>
      <c r="F48" s="50">
        <f>F45+D20</f>
        <v>179.84778792366981</v>
      </c>
      <c r="G48" s="51">
        <f>E20</f>
        <v>-3.4862297099063264</v>
      </c>
      <c r="H48" s="2"/>
      <c r="I48" s="33" t="s">
        <v>130</v>
      </c>
      <c r="J48" s="7">
        <f>-'Bowden kabel'!$D$15*3/8</f>
        <v>-15</v>
      </c>
      <c r="K48" s="10">
        <f>AG39</f>
        <v>-14.320374949030303</v>
      </c>
      <c r="L48" s="2"/>
      <c r="M48" s="6" t="s">
        <v>1</v>
      </c>
      <c r="N48" s="7" t="s">
        <v>2</v>
      </c>
      <c r="O48" s="7" t="s">
        <v>1</v>
      </c>
      <c r="P48" s="10" t="s">
        <v>2</v>
      </c>
      <c r="Q48" s="6" t="s">
        <v>1</v>
      </c>
      <c r="R48" s="7" t="s">
        <v>2</v>
      </c>
      <c r="S48" s="7" t="s">
        <v>1</v>
      </c>
      <c r="T48" s="10" t="s">
        <v>2</v>
      </c>
      <c r="U48" s="6" t="s">
        <v>1</v>
      </c>
      <c r="V48" s="7" t="s">
        <v>2</v>
      </c>
      <c r="W48" s="7" t="s">
        <v>1</v>
      </c>
      <c r="X48" s="10" t="s">
        <v>2</v>
      </c>
      <c r="Y48" s="6" t="s">
        <v>1</v>
      </c>
      <c r="Z48" s="7" t="s">
        <v>2</v>
      </c>
      <c r="AA48" s="7" t="s">
        <v>1</v>
      </c>
      <c r="AB48" s="10" t="s">
        <v>2</v>
      </c>
      <c r="AC48" s="6" t="s">
        <v>1</v>
      </c>
      <c r="AD48" s="7" t="s">
        <v>2</v>
      </c>
      <c r="AE48" s="7" t="s">
        <v>1</v>
      </c>
      <c r="AF48" s="10" t="s">
        <v>2</v>
      </c>
      <c r="AG48" s="6" t="s">
        <v>1</v>
      </c>
      <c r="AH48" s="7" t="s">
        <v>2</v>
      </c>
      <c r="AI48" s="7" t="s">
        <v>1</v>
      </c>
      <c r="AJ48" s="10" t="s">
        <v>2</v>
      </c>
      <c r="AK48" s="6" t="s">
        <v>1</v>
      </c>
      <c r="AL48" s="7" t="s">
        <v>2</v>
      </c>
      <c r="AM48" s="7" t="s">
        <v>1</v>
      </c>
      <c r="AN48" s="10" t="s">
        <v>2</v>
      </c>
      <c r="AO48" s="6" t="s">
        <v>1</v>
      </c>
      <c r="AP48" s="7" t="s">
        <v>2</v>
      </c>
      <c r="AQ48" s="7" t="s">
        <v>1</v>
      </c>
      <c r="AR48" s="10" t="s">
        <v>2</v>
      </c>
    </row>
    <row r="49" spans="1:44" x14ac:dyDescent="0.2">
      <c r="A49" s="2"/>
      <c r="B49" s="6" t="s">
        <v>23</v>
      </c>
      <c r="C49" s="50">
        <f>D3</f>
        <v>0</v>
      </c>
      <c r="D49" s="50">
        <f>E3</f>
        <v>0</v>
      </c>
      <c r="E49" s="50"/>
      <c r="F49" s="50">
        <f>F45</f>
        <v>90</v>
      </c>
      <c r="G49" s="51">
        <f>G45</f>
        <v>12</v>
      </c>
      <c r="H49" s="2"/>
      <c r="I49" s="33" t="s">
        <v>131</v>
      </c>
      <c r="J49" s="7">
        <f>-'Bowden kabel'!$D$15*2/8</f>
        <v>-10</v>
      </c>
      <c r="K49" s="10">
        <f>AK39</f>
        <v>-9.6874504638000687</v>
      </c>
      <c r="L49" s="2"/>
      <c r="M49" s="6">
        <f>$D$5-ABS(RADIANS($J$52))</f>
        <v>1.1788372101797826</v>
      </c>
      <c r="N49" s="7"/>
      <c r="O49" s="6">
        <f>$D$5+ABS(RADIANS($J$52))</f>
        <v>1.3533701353792154</v>
      </c>
      <c r="P49" s="10"/>
      <c r="Q49" s="6">
        <f>$D$5-ABS(RADIANS($J$53))</f>
        <v>1.091570747580066</v>
      </c>
      <c r="R49" s="7"/>
      <c r="S49" s="6">
        <f>$D$5+ABS(RADIANS($J$53))</f>
        <v>1.440636597978932</v>
      </c>
      <c r="T49" s="10"/>
      <c r="U49" s="6">
        <f>$D$5-ABS(RADIANS($J$54))</f>
        <v>1.0043042849803496</v>
      </c>
      <c r="V49" s="7"/>
      <c r="W49" s="6">
        <f>$D$5+ABS(RADIANS($J$54))</f>
        <v>1.5279030605786483</v>
      </c>
      <c r="X49" s="10"/>
      <c r="Y49" s="6">
        <f>$D$5-ABS(RADIANS($J$55))</f>
        <v>0.91703782238063303</v>
      </c>
      <c r="Z49" s="7"/>
      <c r="AA49" s="6">
        <f>$D$5+ABS(RADIANS($J$55))</f>
        <v>1.6151695231783649</v>
      </c>
      <c r="AB49" s="10"/>
      <c r="AC49" s="6">
        <f>$D$5-ABS(RADIANS($J$56))</f>
        <v>0.82977135978091665</v>
      </c>
      <c r="AD49" s="7"/>
      <c r="AE49" s="6">
        <f>$D$5+ABS(RADIANS($J$56))</f>
        <v>1.7024359857780813</v>
      </c>
      <c r="AF49" s="10"/>
      <c r="AG49" s="6">
        <f>$D$5-ABS(RADIANS($J$57))</f>
        <v>0.74250489718120016</v>
      </c>
      <c r="AH49" s="7"/>
      <c r="AI49" s="6">
        <f>$D$5+ABS(RADIANS($J$57))</f>
        <v>1.7897024483777977</v>
      </c>
      <c r="AJ49" s="10"/>
      <c r="AK49" s="6">
        <f>$D$5-ABS(RADIANS($J$58))</f>
        <v>0.65523843458148368</v>
      </c>
      <c r="AL49" s="7"/>
      <c r="AM49" s="6">
        <f>$D$5+ABS(RADIANS($J$58))</f>
        <v>1.8769689109775143</v>
      </c>
      <c r="AN49" s="10"/>
      <c r="AO49" s="6">
        <f>$D$5-ABS(RADIANS($J$59))</f>
        <v>0.56797197198176719</v>
      </c>
      <c r="AP49" s="7"/>
      <c r="AQ49" s="6">
        <f>$D$5+ABS(RADIANS($J$59))</f>
        <v>1.9642353735772309</v>
      </c>
      <c r="AR49" s="10"/>
    </row>
    <row r="50" spans="1:44" x14ac:dyDescent="0.2">
      <c r="A50" s="2"/>
      <c r="B50" s="6"/>
      <c r="C50" s="50">
        <f>D11</f>
        <v>16.859872640015563</v>
      </c>
      <c r="D50" s="50">
        <f>E11</f>
        <v>10.758470828256899</v>
      </c>
      <c r="E50" s="50"/>
      <c r="F50" s="50">
        <f>F45+D36</f>
        <v>153.78173561313622</v>
      </c>
      <c r="G50" s="51">
        <f>E36</f>
        <v>14.493576628617681</v>
      </c>
      <c r="H50" s="2"/>
      <c r="I50" s="33" t="s">
        <v>132</v>
      </c>
      <c r="J50" s="7">
        <f>-'Bowden kabel'!$D$15*1/8</f>
        <v>-5</v>
      </c>
      <c r="K50" s="10">
        <f>AO39</f>
        <v>-4.8956418491864326</v>
      </c>
      <c r="L50" s="2"/>
      <c r="M50" s="6">
        <f>'Bowden kabel'!$D$7*COS(M49)</f>
        <v>7.6399937812625094</v>
      </c>
      <c r="N50" s="7">
        <f>'Bowden kabel'!$D$7*SIN(M49)</f>
        <v>18.483249038582748</v>
      </c>
      <c r="O50" s="7">
        <f>'Bowden kabel'!$D$7*COS(O49)</f>
        <v>4.3143425958384416</v>
      </c>
      <c r="P50" s="10">
        <f>'Bowden kabel'!$D$7*SIN(O49)</f>
        <v>19.52911795155465</v>
      </c>
      <c r="Q50" s="6">
        <f>'Bowden kabel'!$D$7*COS(Q49)</f>
        <v>9.2218425966952395</v>
      </c>
      <c r="R50" s="7">
        <f>'Bowden kabel'!$D$7*SIN(Q49)</f>
        <v>17.747045363152065</v>
      </c>
      <c r="S50" s="7">
        <f>'Bowden kabel'!$D$7*COS(S49)</f>
        <v>2.595850439451262</v>
      </c>
      <c r="T50" s="10">
        <f>'Bowden kabel'!$D$7*SIN(S49)</f>
        <v>19.830823495155229</v>
      </c>
      <c r="U50" s="6">
        <f>'Bowden kabel'!$D$7*COS(U49)</f>
        <v>10.733507621666313</v>
      </c>
      <c r="V50" s="7">
        <f>'Bowden kabel'!$D$7*SIN(U49)</f>
        <v>16.875775956548818</v>
      </c>
      <c r="W50" s="7">
        <f>'Bowden kabel'!$D$7*COS(W49)</f>
        <v>0.85760229380251207</v>
      </c>
      <c r="X50" s="10">
        <f>'Bowden kabel'!$D$7*SIN(W49)</f>
        <v>19.981604497779067</v>
      </c>
      <c r="Y50" s="6">
        <f>'Bowden kabel'!$D$7*COS(Y49)</f>
        <v>12.163484172567408</v>
      </c>
      <c r="Z50" s="7">
        <f>'Bowden kabel'!$D$7*SIN(Y49)</f>
        <v>15.87607170504411</v>
      </c>
      <c r="AA50" s="7">
        <f>'Bowden kabel'!$D$7*COS(AA49)</f>
        <v>-0.88717272313650231</v>
      </c>
      <c r="AB50" s="10">
        <f>'Bowden kabel'!$D$7*SIN(AA49)</f>
        <v>19.980313424952136</v>
      </c>
      <c r="AC50" s="6">
        <f>'Bowden kabel'!$D$7*COS(AC49)</f>
        <v>13.500889264402712</v>
      </c>
      <c r="AD50" s="7">
        <f>'Bowden kabel'!$D$7*SIN(AC49)</f>
        <v>14.755540961629825</v>
      </c>
      <c r="AE50" s="7">
        <f>'Bowden kabel'!$D$7*COS(AE49)</f>
        <v>-2.6251958199629071</v>
      </c>
      <c r="AF50" s="10">
        <f>'Bowden kabel'!$D$7*SIN(AE49)</f>
        <v>19.826960102518218</v>
      </c>
      <c r="AG50" s="6">
        <f>'Bowden kabel'!$D$7*COS(AG49)</f>
        <v>14.73554443687609</v>
      </c>
      <c r="AH50" s="7">
        <f>'Bowden kabel'!$D$7*SIN(AG49)</f>
        <v>13.522711641858304</v>
      </c>
      <c r="AI50" s="7">
        <f>'Bowden kabel'!$D$7*COS(AI49)</f>
        <v>-4.3432395914628188</v>
      </c>
      <c r="AJ50" s="10">
        <f>'Bowden kabel'!$D$7*SIN(AI49)</f>
        <v>19.522711641858308</v>
      </c>
      <c r="AK50" s="6">
        <f>'Bowden kabel'!$D$7*COS(AK49)</f>
        <v>15.85805321861984</v>
      </c>
      <c r="AL50" s="7">
        <f>'Bowden kabel'!$D$7*SIN(AK49)</f>
        <v>12.186966321255708</v>
      </c>
      <c r="AM50" s="7">
        <f>'Bowden kabel'!$D$7*COS(AM49)</f>
        <v>-6.0282286871519357</v>
      </c>
      <c r="AN50" s="10">
        <f>'Bowden kabel'!$D$7*SIN(AM49)</f>
        <v>19.069883557468263</v>
      </c>
      <c r="AO50" s="6">
        <f>'Bowden kabel'!$D$7*COS(AO49)</f>
        <v>16.859872640015563</v>
      </c>
      <c r="AP50" s="7">
        <f>'Bowden kabel'!$D$7*SIN(AO49)</f>
        <v>10.758470828256899</v>
      </c>
      <c r="AQ50" s="7">
        <f>'Bowden kabel'!$D$7*COS(AQ49)</f>
        <v>-7.6673393225878241</v>
      </c>
      <c r="AR50" s="10">
        <f>'Bowden kabel'!$D$7*SIN(AQ49)</f>
        <v>18.471922144495373</v>
      </c>
    </row>
    <row r="51" spans="1:44" x14ac:dyDescent="0.2">
      <c r="A51" s="2"/>
      <c r="B51" s="6"/>
      <c r="C51" s="50">
        <f>D6</f>
        <v>60</v>
      </c>
      <c r="D51" s="50">
        <f>E6</f>
        <v>23</v>
      </c>
      <c r="E51" s="50"/>
      <c r="F51" s="50">
        <f>F47</f>
        <v>140</v>
      </c>
      <c r="G51" s="51">
        <f>G47</f>
        <v>0</v>
      </c>
      <c r="H51" s="2"/>
      <c r="I51" s="33" t="s">
        <v>133</v>
      </c>
      <c r="J51" s="7">
        <v>0</v>
      </c>
      <c r="K51" s="10">
        <v>0</v>
      </c>
      <c r="L51" s="2"/>
      <c r="M51" s="6">
        <f>SQRT(($D$6-M50)^2+(N50-$E$6)^2)</f>
        <v>52.554460233872561</v>
      </c>
      <c r="N51" s="7"/>
      <c r="O51" s="7">
        <f>SQRT(($D$6-O50)^2+(P50-$E$6)^2)</f>
        <v>55.793722431182822</v>
      </c>
      <c r="P51" s="10"/>
      <c r="Q51" s="6">
        <f>SQRT(($D$6-Q50)^2+(R50-$E$6)^2)</f>
        <v>51.049141047539443</v>
      </c>
      <c r="R51" s="7"/>
      <c r="S51" s="7">
        <f>SQRT(($D$6-S50)^2+(T50-$E$6)^2)</f>
        <v>57.491565176891015</v>
      </c>
      <c r="T51" s="10"/>
      <c r="U51" s="6">
        <f>SQRT(($D$6-U50)^2+(V50-$E$6)^2)</f>
        <v>49.6456784765683</v>
      </c>
      <c r="V51" s="7"/>
      <c r="W51" s="7">
        <f>SQRT(($D$6-W50)^2+(X50-$E$6)^2)</f>
        <v>59.21937113686586</v>
      </c>
      <c r="X51" s="10"/>
      <c r="Y51" s="6">
        <f>SQRT(($D$6-Y50)^2+(Z50-$E$6)^2)</f>
        <v>48.364063113637194</v>
      </c>
      <c r="Z51" s="7"/>
      <c r="AA51" s="7">
        <f>SQRT(($D$6-AA50)^2+(AB50-$E$6)^2)</f>
        <v>60.962007096457889</v>
      </c>
      <c r="AB51" s="10"/>
      <c r="AC51" s="6">
        <f>SQRT(($D$6-AC50)^2+(AD50-$E$6)^2)</f>
        <v>47.224341223956763</v>
      </c>
      <c r="AD51" s="7"/>
      <c r="AE51" s="7">
        <f>SQRT(($D$6-AE50)^2+(AF50-$E$6)^2)</f>
        <v>62.70552873295712</v>
      </c>
      <c r="AF51" s="10"/>
      <c r="AG51" s="6">
        <f>SQRT(($D$6-AG50)^2+(AH50-$E$6)^2)</f>
        <v>46.245972062974175</v>
      </c>
      <c r="AH51" s="7"/>
      <c r="AI51" s="7">
        <f>SQRT(($D$6-AI50)^2+(AJ50-$E$6)^2)</f>
        <v>64.437132272084057</v>
      </c>
      <c r="AJ51" s="10"/>
      <c r="AK51" s="6">
        <f>SQRT(($D$6-AK50)^2+(AL50-$E$6)^2)</f>
        <v>45.447036899976837</v>
      </c>
      <c r="AL51" s="7"/>
      <c r="AM51" s="7">
        <f>SQRT(($D$6-AM50)^2+(AN50-$E$6)^2)</f>
        <v>66.145088999975599</v>
      </c>
      <c r="AN51" s="10"/>
      <c r="AO51" s="6">
        <f>SQRT(($D$6-AO50)^2+(AP50-$E$6)^2)</f>
        <v>44.843345382546055</v>
      </c>
      <c r="AP51" s="7"/>
      <c r="AQ51" s="7">
        <f>SQRT(($D$6-AQ50)^2+(AR50-$E$6)^2)</f>
        <v>67.818672208056029</v>
      </c>
      <c r="AR51" s="10"/>
    </row>
    <row r="52" spans="1:44" x14ac:dyDescent="0.2">
      <c r="A52" s="2"/>
      <c r="B52" s="6"/>
      <c r="C52" s="50"/>
      <c r="D52" s="50"/>
      <c r="E52" s="50"/>
      <c r="F52" s="50">
        <f>F45+D38</f>
        <v>171.93663553364703</v>
      </c>
      <c r="G52" s="51">
        <f>E38</f>
        <v>-24.08425441634002</v>
      </c>
      <c r="H52" s="2"/>
      <c r="I52" s="33" t="s">
        <v>134</v>
      </c>
      <c r="J52" s="7">
        <f>'Bowden kabel'!$D$15*1/8</f>
        <v>5</v>
      </c>
      <c r="K52" s="10">
        <f>O78</f>
        <v>4.9580638284932004</v>
      </c>
      <c r="L52" s="2"/>
      <c r="M52" s="6">
        <f>$D$7-M51</f>
        <v>1.5877223477006481</v>
      </c>
      <c r="N52" s="7"/>
      <c r="O52" s="7">
        <f>-$D$7+O51</f>
        <v>1.6515398496096125</v>
      </c>
      <c r="P52" s="10"/>
      <c r="Q52" s="6">
        <f>$D$7-Q51</f>
        <v>3.093041534033766</v>
      </c>
      <c r="R52" s="7"/>
      <c r="S52" s="7">
        <f>-$D$7+S51</f>
        <v>3.349382595317806</v>
      </c>
      <c r="T52" s="10"/>
      <c r="U52" s="6">
        <f>$D$7-U51</f>
        <v>4.4965041050049095</v>
      </c>
      <c r="V52" s="7"/>
      <c r="W52" s="7">
        <f>-$D$7+W51</f>
        <v>5.0771885552926506</v>
      </c>
      <c r="X52" s="10"/>
      <c r="Y52" s="6">
        <f>$D$7-Y51</f>
        <v>5.7781194679360155</v>
      </c>
      <c r="Z52" s="7"/>
      <c r="AA52" s="7">
        <f>-$D$7+AA51</f>
        <v>6.8198245148846794</v>
      </c>
      <c r="AB52" s="10"/>
      <c r="AC52" s="6">
        <f>$D$7-AC51</f>
        <v>6.9178413576164459</v>
      </c>
      <c r="AD52" s="7"/>
      <c r="AE52" s="7">
        <f>-$D$7+AE51</f>
        <v>8.5633461513839109</v>
      </c>
      <c r="AF52" s="10"/>
      <c r="AG52" s="6">
        <f>$D$7-AG51</f>
        <v>7.8962105185990339</v>
      </c>
      <c r="AH52" s="7"/>
      <c r="AI52" s="7">
        <f>-$D$7+AI51</f>
        <v>10.294949690510848</v>
      </c>
      <c r="AJ52" s="10"/>
      <c r="AK52" s="6">
        <f>$D$7-AK51</f>
        <v>8.6951456815963724</v>
      </c>
      <c r="AL52" s="7"/>
      <c r="AM52" s="7">
        <f>-$D$7+AM51</f>
        <v>12.002906418402389</v>
      </c>
      <c r="AN52" s="10"/>
      <c r="AO52" s="6">
        <f>$D$7-AO51</f>
        <v>9.2988371990271546</v>
      </c>
      <c r="AP52" s="7"/>
      <c r="AQ52" s="7">
        <f>-$D$7+AQ51</f>
        <v>13.67648962648282</v>
      </c>
      <c r="AR52" s="10"/>
    </row>
    <row r="53" spans="1:44" x14ac:dyDescent="0.2">
      <c r="A53" s="2"/>
      <c r="B53" s="6" t="s">
        <v>24</v>
      </c>
      <c r="C53" s="50">
        <f>D3</f>
        <v>0</v>
      </c>
      <c r="D53" s="50">
        <f>E3</f>
        <v>0</v>
      </c>
      <c r="E53" s="50"/>
      <c r="F53" s="50">
        <f>F45</f>
        <v>90</v>
      </c>
      <c r="G53" s="51">
        <f>G45</f>
        <v>12</v>
      </c>
      <c r="H53" s="2"/>
      <c r="I53" s="33" t="s">
        <v>135</v>
      </c>
      <c r="J53" s="7">
        <f>'Bowden kabel'!$D$15*2/8</f>
        <v>10</v>
      </c>
      <c r="K53" s="10">
        <f>S78</f>
        <v>9.9485922736637704</v>
      </c>
      <c r="L53" s="2"/>
      <c r="M53" s="6"/>
      <c r="N53" s="7"/>
      <c r="O53" s="7"/>
      <c r="P53" s="10"/>
      <c r="Q53" s="6"/>
      <c r="R53" s="7"/>
      <c r="S53" s="7"/>
      <c r="T53" s="10"/>
      <c r="U53" s="6"/>
      <c r="V53" s="7"/>
      <c r="W53" s="7"/>
      <c r="X53" s="10"/>
      <c r="Y53" s="6"/>
      <c r="Z53" s="7"/>
      <c r="AA53" s="7"/>
      <c r="AB53" s="10"/>
      <c r="AC53" s="6"/>
      <c r="AD53" s="7"/>
      <c r="AE53" s="7"/>
      <c r="AF53" s="10"/>
      <c r="AG53" s="6"/>
      <c r="AH53" s="7"/>
      <c r="AI53" s="7"/>
      <c r="AJ53" s="10"/>
      <c r="AK53" s="6"/>
      <c r="AL53" s="7"/>
      <c r="AM53" s="7"/>
      <c r="AN53" s="10"/>
      <c r="AO53" s="6"/>
      <c r="AP53" s="7"/>
      <c r="AQ53" s="7"/>
      <c r="AR53" s="10"/>
    </row>
    <row r="54" spans="1:44" x14ac:dyDescent="0.2">
      <c r="A54" s="2"/>
      <c r="B54" s="6"/>
      <c r="C54" s="50">
        <f>I11</f>
        <v>-7.6673393225878241</v>
      </c>
      <c r="D54" s="50">
        <f>J11</f>
        <v>18.471922144495373</v>
      </c>
      <c r="E54" s="50"/>
      <c r="F54" s="50">
        <f>F45+I36</f>
        <v>130.47167501149607</v>
      </c>
      <c r="G54" s="51">
        <f>J36</f>
        <v>17.584397143873073</v>
      </c>
      <c r="H54" s="2"/>
      <c r="I54" s="33" t="s">
        <v>136</v>
      </c>
      <c r="J54" s="7">
        <f>'Bowden kabel'!$D$15*3/8</f>
        <v>15</v>
      </c>
      <c r="K54" s="10">
        <f>W78</f>
        <v>14.951254099856543</v>
      </c>
      <c r="L54" s="2"/>
      <c r="M54" s="6" t="s">
        <v>1</v>
      </c>
      <c r="N54" s="7" t="s">
        <v>2</v>
      </c>
      <c r="O54" s="7"/>
      <c r="P54" s="10"/>
      <c r="Q54" s="6" t="s">
        <v>1</v>
      </c>
      <c r="R54" s="7" t="s">
        <v>2</v>
      </c>
      <c r="S54" s="7"/>
      <c r="T54" s="10"/>
      <c r="U54" s="6" t="s">
        <v>1</v>
      </c>
      <c r="V54" s="7" t="s">
        <v>2</v>
      </c>
      <c r="W54" s="7"/>
      <c r="X54" s="10"/>
      <c r="Y54" s="6" t="s">
        <v>1</v>
      </c>
      <c r="Z54" s="7" t="s">
        <v>2</v>
      </c>
      <c r="AA54" s="7"/>
      <c r="AB54" s="10"/>
      <c r="AC54" s="6" t="s">
        <v>1</v>
      </c>
      <c r="AD54" s="7" t="s">
        <v>2</v>
      </c>
      <c r="AE54" s="7"/>
      <c r="AF54" s="10"/>
      <c r="AG54" s="6" t="s">
        <v>1</v>
      </c>
      <c r="AH54" s="7" t="s">
        <v>2</v>
      </c>
      <c r="AI54" s="7"/>
      <c r="AJ54" s="10"/>
      <c r="AK54" s="6" t="s">
        <v>1</v>
      </c>
      <c r="AL54" s="7" t="s">
        <v>2</v>
      </c>
      <c r="AM54" s="7"/>
      <c r="AN54" s="10"/>
      <c r="AO54" s="6" t="s">
        <v>1</v>
      </c>
      <c r="AP54" s="7" t="s">
        <v>2</v>
      </c>
      <c r="AQ54" s="7"/>
      <c r="AR54" s="10"/>
    </row>
    <row r="55" spans="1:44" x14ac:dyDescent="0.2">
      <c r="A55" s="2"/>
      <c r="B55" s="6"/>
      <c r="C55" s="50">
        <f>D6</f>
        <v>60</v>
      </c>
      <c r="D55" s="50">
        <f>E6</f>
        <v>23</v>
      </c>
      <c r="E55" s="50"/>
      <c r="F55" s="50">
        <f>F47</f>
        <v>140</v>
      </c>
      <c r="G55" s="51">
        <f>G47</f>
        <v>0</v>
      </c>
      <c r="H55" s="2"/>
      <c r="I55" s="33" t="s">
        <v>137</v>
      </c>
      <c r="J55" s="7">
        <f>'Bowden kabel'!$D$15*4/8</f>
        <v>20</v>
      </c>
      <c r="K55" s="10">
        <f>AA78</f>
        <v>19.953996461211752</v>
      </c>
      <c r="L55" s="2"/>
      <c r="M55" s="6">
        <v>0</v>
      </c>
      <c r="N55" s="7">
        <v>0</v>
      </c>
      <c r="O55" s="7"/>
      <c r="P55" s="10"/>
      <c r="Q55" s="6">
        <v>0</v>
      </c>
      <c r="R55" s="7">
        <v>0</v>
      </c>
      <c r="S55" s="7"/>
      <c r="T55" s="10"/>
      <c r="U55" s="6">
        <v>0</v>
      </c>
      <c r="V55" s="7">
        <v>0</v>
      </c>
      <c r="W55" s="7"/>
      <c r="X55" s="10"/>
      <c r="Y55" s="6">
        <v>0</v>
      </c>
      <c r="Z55" s="7">
        <v>0</v>
      </c>
      <c r="AA55" s="7"/>
      <c r="AB55" s="10"/>
      <c r="AC55" s="6">
        <v>0</v>
      </c>
      <c r="AD55" s="7">
        <v>0</v>
      </c>
      <c r="AE55" s="7"/>
      <c r="AF55" s="10"/>
      <c r="AG55" s="6">
        <v>0</v>
      </c>
      <c r="AH55" s="7">
        <v>0</v>
      </c>
      <c r="AI55" s="7"/>
      <c r="AJ55" s="10"/>
      <c r="AK55" s="6">
        <v>0</v>
      </c>
      <c r="AL55" s="7">
        <v>0</v>
      </c>
      <c r="AM55" s="7"/>
      <c r="AN55" s="10"/>
      <c r="AO55" s="6">
        <v>0</v>
      </c>
      <c r="AP55" s="7">
        <v>0</v>
      </c>
      <c r="AQ55" s="7"/>
      <c r="AR55" s="10"/>
    </row>
    <row r="56" spans="1:44" x14ac:dyDescent="0.2">
      <c r="A56" s="2"/>
      <c r="B56" s="6"/>
      <c r="C56" s="50"/>
      <c r="D56" s="50"/>
      <c r="E56" s="50"/>
      <c r="F56" s="50">
        <f>F45+I38</f>
        <v>172.77066164483855</v>
      </c>
      <c r="G56" s="51">
        <f>J38</f>
        <v>22.936515327300846</v>
      </c>
      <c r="H56" s="2"/>
      <c r="I56" s="33" t="s">
        <v>138</v>
      </c>
      <c r="J56" s="7">
        <f>'Bowden kabel'!$D$15*5/8</f>
        <v>25</v>
      </c>
      <c r="K56" s="10">
        <f>AE78</f>
        <v>24.952241827344203</v>
      </c>
      <c r="L56" s="2"/>
      <c r="M56" s="6">
        <f>M55</f>
        <v>0</v>
      </c>
      <c r="N56" s="7">
        <f>'Bowden kabel'!$D$10</f>
        <v>12</v>
      </c>
      <c r="O56" s="7"/>
      <c r="P56" s="10"/>
      <c r="Q56" s="6">
        <f>Q55</f>
        <v>0</v>
      </c>
      <c r="R56" s="7">
        <f>'Bowden kabel'!$D$10</f>
        <v>12</v>
      </c>
      <c r="S56" s="7"/>
      <c r="T56" s="10"/>
      <c r="U56" s="6">
        <f>U55</f>
        <v>0</v>
      </c>
      <c r="V56" s="7">
        <f>'Bowden kabel'!$D$10</f>
        <v>12</v>
      </c>
      <c r="W56" s="7"/>
      <c r="X56" s="10"/>
      <c r="Y56" s="6">
        <f>Y55</f>
        <v>0</v>
      </c>
      <c r="Z56" s="7">
        <f>'Bowden kabel'!$D$10</f>
        <v>12</v>
      </c>
      <c r="AA56" s="7"/>
      <c r="AB56" s="10"/>
      <c r="AC56" s="6">
        <f>AC55</f>
        <v>0</v>
      </c>
      <c r="AD56" s="7">
        <f>'Bowden kabel'!$D$10</f>
        <v>12</v>
      </c>
      <c r="AE56" s="7"/>
      <c r="AF56" s="10"/>
      <c r="AG56" s="6">
        <f>AG55</f>
        <v>0</v>
      </c>
      <c r="AH56" s="7">
        <f>'Bowden kabel'!$D$10</f>
        <v>12</v>
      </c>
      <c r="AI56" s="7"/>
      <c r="AJ56" s="10"/>
      <c r="AK56" s="6">
        <f>AK55</f>
        <v>0</v>
      </c>
      <c r="AL56" s="7">
        <f>'Bowden kabel'!$D$10</f>
        <v>12</v>
      </c>
      <c r="AM56" s="7"/>
      <c r="AN56" s="10"/>
      <c r="AO56" s="6">
        <f>AO55</f>
        <v>0</v>
      </c>
      <c r="AP56" s="7">
        <f>'Bowden kabel'!$D$10</f>
        <v>12</v>
      </c>
      <c r="AQ56" s="7"/>
      <c r="AR56" s="10"/>
    </row>
    <row r="57" spans="1:44" x14ac:dyDescent="0.2">
      <c r="A57" s="2"/>
      <c r="B57" s="6" t="s">
        <v>55</v>
      </c>
      <c r="C57" s="50">
        <f>C47</f>
        <v>60</v>
      </c>
      <c r="D57" s="50">
        <f>D47</f>
        <v>23</v>
      </c>
      <c r="E57" s="50"/>
      <c r="F57" s="50"/>
      <c r="G57" s="51"/>
      <c r="H57" s="2"/>
      <c r="I57" s="33" t="s">
        <v>139</v>
      </c>
      <c r="J57" s="7">
        <f>'Bowden kabel'!$D$15*6/8</f>
        <v>30</v>
      </c>
      <c r="K57" s="10">
        <f>AI78</f>
        <v>29.948710179505241</v>
      </c>
      <c r="L57" s="2"/>
      <c r="M57" s="6">
        <f>'Bowden kabel'!$D$9</f>
        <v>50</v>
      </c>
      <c r="N57" s="7">
        <f>N55</f>
        <v>0</v>
      </c>
      <c r="O57" s="7"/>
      <c r="P57" s="10"/>
      <c r="Q57" s="6">
        <f>'Bowden kabel'!$D$9</f>
        <v>50</v>
      </c>
      <c r="R57" s="7">
        <f>R55</f>
        <v>0</v>
      </c>
      <c r="S57" s="7"/>
      <c r="T57" s="10"/>
      <c r="U57" s="6">
        <f>'Bowden kabel'!$D$9</f>
        <v>50</v>
      </c>
      <c r="V57" s="7">
        <f>V55</f>
        <v>0</v>
      </c>
      <c r="W57" s="7"/>
      <c r="X57" s="10"/>
      <c r="Y57" s="6">
        <f>'Bowden kabel'!$D$9</f>
        <v>50</v>
      </c>
      <c r="Z57" s="7">
        <f>Z55</f>
        <v>0</v>
      </c>
      <c r="AA57" s="7"/>
      <c r="AB57" s="10"/>
      <c r="AC57" s="6">
        <f>'Bowden kabel'!$D$9</f>
        <v>50</v>
      </c>
      <c r="AD57" s="7">
        <f>AD55</f>
        <v>0</v>
      </c>
      <c r="AE57" s="7"/>
      <c r="AF57" s="10"/>
      <c r="AG57" s="6">
        <f>'Bowden kabel'!$D$9</f>
        <v>50</v>
      </c>
      <c r="AH57" s="7">
        <f>AH55</f>
        <v>0</v>
      </c>
      <c r="AI57" s="7"/>
      <c r="AJ57" s="10"/>
      <c r="AK57" s="6">
        <f>'Bowden kabel'!$D$9</f>
        <v>50</v>
      </c>
      <c r="AL57" s="7">
        <f>AL55</f>
        <v>0</v>
      </c>
      <c r="AM57" s="7"/>
      <c r="AN57" s="10"/>
      <c r="AO57" s="6">
        <f>'Bowden kabel'!$D$9</f>
        <v>50</v>
      </c>
      <c r="AP57" s="7">
        <f>AP55</f>
        <v>0</v>
      </c>
      <c r="AQ57" s="7"/>
      <c r="AR57" s="10"/>
    </row>
    <row r="58" spans="1:44" ht="13.5" thickBot="1" x14ac:dyDescent="0.25">
      <c r="A58" s="2"/>
      <c r="B58" s="8"/>
      <c r="C58" s="52">
        <f>F45</f>
        <v>90</v>
      </c>
      <c r="D58" s="52">
        <f>G45</f>
        <v>12</v>
      </c>
      <c r="E58" s="52"/>
      <c r="F58" s="52"/>
      <c r="G58" s="53"/>
      <c r="H58" s="2"/>
      <c r="I58" s="33" t="s">
        <v>140</v>
      </c>
      <c r="J58" s="7">
        <f>'Bowden kabel'!$D$15*7/8</f>
        <v>35</v>
      </c>
      <c r="K58" s="10">
        <f>AM78</f>
        <v>34.954036547485941</v>
      </c>
      <c r="L58" s="2"/>
      <c r="M58" s="6">
        <f>M57+'Bowden kabel'!$D$12</f>
        <v>54</v>
      </c>
      <c r="N58" s="7">
        <f>SQRT('Bowden kabel'!$D$11^2-'Bowden kabel'!$D$12^2)</f>
        <v>19.595917942265423</v>
      </c>
      <c r="O58" s="7"/>
      <c r="P58" s="10"/>
      <c r="Q58" s="6">
        <f>Q57+'Bowden kabel'!$D$12</f>
        <v>54</v>
      </c>
      <c r="R58" s="7">
        <f>SQRT('Bowden kabel'!$D$11^2-'Bowden kabel'!$D$12^2)</f>
        <v>19.595917942265423</v>
      </c>
      <c r="S58" s="7"/>
      <c r="T58" s="10"/>
      <c r="U58" s="6">
        <f>U57+'Bowden kabel'!$D$12</f>
        <v>54</v>
      </c>
      <c r="V58" s="7">
        <f>SQRT('Bowden kabel'!$D$11^2-'Bowden kabel'!$D$12^2)</f>
        <v>19.595917942265423</v>
      </c>
      <c r="W58" s="7"/>
      <c r="X58" s="10"/>
      <c r="Y58" s="6">
        <f>Y57+'Bowden kabel'!$D$12</f>
        <v>54</v>
      </c>
      <c r="Z58" s="7">
        <f>SQRT('Bowden kabel'!$D$11^2-'Bowden kabel'!$D$12^2)</f>
        <v>19.595917942265423</v>
      </c>
      <c r="AA58" s="7"/>
      <c r="AB58" s="10"/>
      <c r="AC58" s="6">
        <f>AC57+'Bowden kabel'!$D$12</f>
        <v>54</v>
      </c>
      <c r="AD58" s="7">
        <f>SQRT('Bowden kabel'!$D$11^2-'Bowden kabel'!$D$12^2)</f>
        <v>19.595917942265423</v>
      </c>
      <c r="AE58" s="7"/>
      <c r="AF58" s="10"/>
      <c r="AG58" s="6">
        <f>AG57+'Bowden kabel'!$D$12</f>
        <v>54</v>
      </c>
      <c r="AH58" s="7">
        <f>SQRT('Bowden kabel'!$D$11^2-'Bowden kabel'!$D$12^2)</f>
        <v>19.595917942265423</v>
      </c>
      <c r="AI58" s="7"/>
      <c r="AJ58" s="10"/>
      <c r="AK58" s="6">
        <f>AK57+'Bowden kabel'!$D$12</f>
        <v>54</v>
      </c>
      <c r="AL58" s="7">
        <f>SQRT('Bowden kabel'!$D$11^2-'Bowden kabel'!$D$12^2)</f>
        <v>19.595917942265423</v>
      </c>
      <c r="AM58" s="7"/>
      <c r="AN58" s="10"/>
      <c r="AO58" s="6">
        <f>AO57+'Bowden kabel'!$D$12</f>
        <v>54</v>
      </c>
      <c r="AP58" s="7">
        <f>SQRT('Bowden kabel'!$D$11^2-'Bowden kabel'!$D$12^2)</f>
        <v>19.595917942265423</v>
      </c>
      <c r="AQ58" s="7"/>
      <c r="AR58" s="10"/>
    </row>
    <row r="59" spans="1:44" ht="13.5" thickBot="1" x14ac:dyDescent="0.25">
      <c r="A59" s="2"/>
      <c r="B59" s="2"/>
      <c r="C59" s="49"/>
      <c r="D59" s="49"/>
      <c r="E59" s="49"/>
      <c r="F59" s="49"/>
      <c r="G59" s="49"/>
      <c r="H59" s="2"/>
      <c r="I59" s="34" t="s">
        <v>141</v>
      </c>
      <c r="J59" s="9">
        <f>'Bowden kabel'!$D$15</f>
        <v>40</v>
      </c>
      <c r="K59" s="11">
        <f>AQ78</f>
        <v>39.988561035214332</v>
      </c>
      <c r="L59" s="2"/>
      <c r="M59" s="6">
        <f>M57+'Bowden kabel'!$D$13*COS(RADIANS('Bowden kabel'!$D$14))</f>
        <v>89.847787923669813</v>
      </c>
      <c r="N59" s="7">
        <f>N57+'Bowden kabel'!$D$13*SIN(RADIANS('Bowden kabel'!$D$14))</f>
        <v>-3.4862297099063264</v>
      </c>
      <c r="O59" s="7"/>
      <c r="P59" s="10"/>
      <c r="Q59" s="6">
        <f>Q57+'Bowden kabel'!$D$13*COS(RADIANS('Bowden kabel'!$D$14))</f>
        <v>89.847787923669813</v>
      </c>
      <c r="R59" s="7">
        <f>R57+'Bowden kabel'!$D$13*SIN(RADIANS('Bowden kabel'!$D$14))</f>
        <v>-3.4862297099063264</v>
      </c>
      <c r="S59" s="7"/>
      <c r="T59" s="10"/>
      <c r="U59" s="6">
        <f>U57+'Bowden kabel'!$D$13*COS(RADIANS('Bowden kabel'!$D$14))</f>
        <v>89.847787923669813</v>
      </c>
      <c r="V59" s="7">
        <f>V57+'Bowden kabel'!$D$13*SIN(RADIANS('Bowden kabel'!$D$14))</f>
        <v>-3.4862297099063264</v>
      </c>
      <c r="W59" s="7"/>
      <c r="X59" s="10"/>
      <c r="Y59" s="6">
        <f>Y57+'Bowden kabel'!$D$13*COS(RADIANS('Bowden kabel'!$D$14))</f>
        <v>89.847787923669813</v>
      </c>
      <c r="Z59" s="7">
        <f>Z57+'Bowden kabel'!$D$13*SIN(RADIANS('Bowden kabel'!$D$14))</f>
        <v>-3.4862297099063264</v>
      </c>
      <c r="AA59" s="7"/>
      <c r="AB59" s="10"/>
      <c r="AC59" s="6">
        <f>AC57+'Bowden kabel'!$D$13*COS(RADIANS('Bowden kabel'!$D$14))</f>
        <v>89.847787923669813</v>
      </c>
      <c r="AD59" s="7">
        <f>AD57+'Bowden kabel'!$D$13*SIN(RADIANS('Bowden kabel'!$D$14))</f>
        <v>-3.4862297099063264</v>
      </c>
      <c r="AE59" s="7"/>
      <c r="AF59" s="10"/>
      <c r="AG59" s="6">
        <f>AG57+'Bowden kabel'!$D$13*COS(RADIANS('Bowden kabel'!$D$14))</f>
        <v>89.847787923669813</v>
      </c>
      <c r="AH59" s="7">
        <f>AH57+'Bowden kabel'!$D$13*SIN(RADIANS('Bowden kabel'!$D$14))</f>
        <v>-3.4862297099063264</v>
      </c>
      <c r="AI59" s="7"/>
      <c r="AJ59" s="10"/>
      <c r="AK59" s="6">
        <f>AK57+'Bowden kabel'!$D$13*COS(RADIANS('Bowden kabel'!$D$14))</f>
        <v>89.847787923669813</v>
      </c>
      <c r="AL59" s="7">
        <f>AL57+'Bowden kabel'!$D$13*SIN(RADIANS('Bowden kabel'!$D$14))</f>
        <v>-3.4862297099063264</v>
      </c>
      <c r="AM59" s="7"/>
      <c r="AN59" s="10"/>
      <c r="AO59" s="6">
        <f>AO57+'Bowden kabel'!$D$13*COS(RADIANS('Bowden kabel'!$D$14))</f>
        <v>89.847787923669813</v>
      </c>
      <c r="AP59" s="7">
        <f>AP57+'Bowden kabel'!$D$13*SIN(RADIANS('Bowden kabel'!$D$14))</f>
        <v>-3.4862297099063264</v>
      </c>
      <c r="AQ59" s="7"/>
      <c r="AR59" s="10"/>
    </row>
    <row r="60" spans="1:44" x14ac:dyDescent="0.2">
      <c r="A60" s="2"/>
      <c r="B60" s="2"/>
      <c r="C60" s="49"/>
      <c r="D60" s="49"/>
      <c r="E60" s="49"/>
      <c r="F60" s="54">
        <f>MIN(C45:C58)</f>
        <v>-7.6673393225878241</v>
      </c>
      <c r="G60" s="54">
        <f>MIN(G45:G58)</f>
        <v>-24.08425441634002</v>
      </c>
      <c r="H60" s="2"/>
      <c r="I60" s="3" t="s">
        <v>144</v>
      </c>
      <c r="J60" s="5"/>
      <c r="K60" s="2"/>
      <c r="L60" s="2"/>
      <c r="M60" s="6">
        <f>ACOS('Bowden kabel'!$D$8/'Bowden kabel'!$D$7)</f>
        <v>1.266103672779499</v>
      </c>
      <c r="N60" s="7"/>
      <c r="O60" s="7"/>
      <c r="P60" s="10"/>
      <c r="Q60" s="6">
        <f>ACOS('Bowden kabel'!$D$8/'Bowden kabel'!$D$7)</f>
        <v>1.266103672779499</v>
      </c>
      <c r="R60" s="7"/>
      <c r="S60" s="7"/>
      <c r="T60" s="10"/>
      <c r="U60" s="6">
        <f>ACOS('Bowden kabel'!$D$8/'Bowden kabel'!$D$7)</f>
        <v>1.266103672779499</v>
      </c>
      <c r="V60" s="7"/>
      <c r="W60" s="7"/>
      <c r="X60" s="10"/>
      <c r="Y60" s="6">
        <f>ACOS('Bowden kabel'!$D$8/'Bowden kabel'!$D$7)</f>
        <v>1.266103672779499</v>
      </c>
      <c r="Z60" s="7"/>
      <c r="AA60" s="7"/>
      <c r="AB60" s="10"/>
      <c r="AC60" s="6">
        <f>ACOS('Bowden kabel'!$D$8/'Bowden kabel'!$D$7)</f>
        <v>1.266103672779499</v>
      </c>
      <c r="AD60" s="7"/>
      <c r="AE60" s="7"/>
      <c r="AF60" s="10"/>
      <c r="AG60" s="6">
        <f>ACOS('Bowden kabel'!$D$8/'Bowden kabel'!$D$7)</f>
        <v>1.266103672779499</v>
      </c>
      <c r="AH60" s="7"/>
      <c r="AI60" s="7"/>
      <c r="AJ60" s="10"/>
      <c r="AK60" s="6">
        <f>ACOS('Bowden kabel'!$D$8/'Bowden kabel'!$D$7)</f>
        <v>1.266103672779499</v>
      </c>
      <c r="AL60" s="7"/>
      <c r="AM60" s="7"/>
      <c r="AN60" s="10"/>
      <c r="AO60" s="6">
        <f>ACOS('Bowden kabel'!$D$8/'Bowden kabel'!$D$7)</f>
        <v>1.266103672779499</v>
      </c>
      <c r="AP60" s="7"/>
      <c r="AQ60" s="7"/>
      <c r="AR60" s="10"/>
    </row>
    <row r="61" spans="1:44" x14ac:dyDescent="0.2">
      <c r="A61" s="2"/>
      <c r="B61" s="2"/>
      <c r="C61" s="2"/>
      <c r="D61" s="2"/>
      <c r="E61" s="2"/>
      <c r="F61" s="54">
        <f>MAX(F45:F58)</f>
        <v>179.84778792366981</v>
      </c>
      <c r="G61" s="54">
        <f>MAX(G45:G58)</f>
        <v>22.936515327300846</v>
      </c>
      <c r="H61" s="2"/>
      <c r="I61" s="6">
        <f>J43*J65</f>
        <v>0</v>
      </c>
      <c r="J61" s="10">
        <f>K43*J65</f>
        <v>0</v>
      </c>
      <c r="K61" s="2"/>
      <c r="L61" s="2"/>
      <c r="M61" s="6">
        <f>PI()/2-ASIN('Bowden kabel'!$D$12/'Bowden kabel'!$D$11)-RADIANS('Bowden kabel'!$D$14)</f>
        <v>1.4567048686042821</v>
      </c>
      <c r="N61" s="7"/>
      <c r="O61" s="7"/>
      <c r="P61" s="10"/>
      <c r="Q61" s="6">
        <f>PI()/2-ASIN('Bowden kabel'!$D$12/'Bowden kabel'!$D$11)-RADIANS('Bowden kabel'!$D$14)</f>
        <v>1.4567048686042821</v>
      </c>
      <c r="R61" s="7"/>
      <c r="S61" s="7"/>
      <c r="T61" s="10"/>
      <c r="U61" s="6">
        <f>PI()/2-ASIN('Bowden kabel'!$D$12/'Bowden kabel'!$D$11)-RADIANS('Bowden kabel'!$D$14)</f>
        <v>1.4567048686042821</v>
      </c>
      <c r="V61" s="7"/>
      <c r="W61" s="7"/>
      <c r="X61" s="10"/>
      <c r="Y61" s="6">
        <f>PI()/2-ASIN('Bowden kabel'!$D$12/'Bowden kabel'!$D$11)-RADIANS('Bowden kabel'!$D$14)</f>
        <v>1.4567048686042821</v>
      </c>
      <c r="Z61" s="7"/>
      <c r="AA61" s="7"/>
      <c r="AB61" s="10"/>
      <c r="AC61" s="6">
        <f>PI()/2-ASIN('Bowden kabel'!$D$12/'Bowden kabel'!$D$11)-RADIANS('Bowden kabel'!$D$14)</f>
        <v>1.4567048686042821</v>
      </c>
      <c r="AD61" s="7"/>
      <c r="AE61" s="7"/>
      <c r="AF61" s="10"/>
      <c r="AG61" s="6">
        <f>PI()/2-ASIN('Bowden kabel'!$D$12/'Bowden kabel'!$D$11)-RADIANS('Bowden kabel'!$D$14)</f>
        <v>1.4567048686042821</v>
      </c>
      <c r="AH61" s="7"/>
      <c r="AI61" s="7"/>
      <c r="AJ61" s="10"/>
      <c r="AK61" s="6">
        <f>PI()/2-ASIN('Bowden kabel'!$D$12/'Bowden kabel'!$D$11)-RADIANS('Bowden kabel'!$D$14)</f>
        <v>1.4567048686042821</v>
      </c>
      <c r="AL61" s="7"/>
      <c r="AM61" s="7"/>
      <c r="AN61" s="10"/>
      <c r="AO61" s="6">
        <f>PI()/2-ASIN('Bowden kabel'!$D$12/'Bowden kabel'!$D$11)-RADIANS('Bowden kabel'!$D$14)</f>
        <v>1.4567048686042821</v>
      </c>
      <c r="AP61" s="7"/>
      <c r="AQ61" s="7"/>
      <c r="AR61" s="10"/>
    </row>
    <row r="62" spans="1:44" x14ac:dyDescent="0.2">
      <c r="E62" s="60"/>
      <c r="F62" s="56">
        <f>MAX(-G60,G61)*2.5*2</f>
        <v>120.4212720817001</v>
      </c>
      <c r="G62" s="57">
        <f>F61/2.5/2</f>
        <v>35.969557584733963</v>
      </c>
      <c r="I62" s="6">
        <f>J51</f>
        <v>0</v>
      </c>
      <c r="J62" s="10">
        <f>K51</f>
        <v>0</v>
      </c>
      <c r="M62" s="6">
        <f>SQRT((M56-M58)^2+(N56-N58)^2)</f>
        <v>54.53162357188377</v>
      </c>
      <c r="N62" s="7"/>
      <c r="O62" s="7"/>
      <c r="P62" s="10"/>
      <c r="Q62" s="6">
        <f>SQRT((Q56-Q58)^2+(R56-R58)^2)</f>
        <v>54.53162357188377</v>
      </c>
      <c r="R62" s="7"/>
      <c r="S62" s="7"/>
      <c r="T62" s="10"/>
      <c r="U62" s="6">
        <f>SQRT((U56-U58)^2+(V56-V58)^2)</f>
        <v>54.53162357188377</v>
      </c>
      <c r="V62" s="7"/>
      <c r="W62" s="7"/>
      <c r="X62" s="10"/>
      <c r="Y62" s="6">
        <f>SQRT((Y56-Y58)^2+(Z56-Z58)^2)</f>
        <v>54.53162357188377</v>
      </c>
      <c r="Z62" s="7"/>
      <c r="AA62" s="7"/>
      <c r="AB62" s="10"/>
      <c r="AC62" s="6">
        <f>SQRT((AC56-AC58)^2+(AD56-AD58)^2)</f>
        <v>54.53162357188377</v>
      </c>
      <c r="AD62" s="7"/>
      <c r="AE62" s="7"/>
      <c r="AF62" s="10"/>
      <c r="AG62" s="6">
        <f>SQRT((AG56-AG58)^2+(AH56-AH58)^2)</f>
        <v>54.53162357188377</v>
      </c>
      <c r="AH62" s="7"/>
      <c r="AI62" s="7"/>
      <c r="AJ62" s="10"/>
      <c r="AK62" s="6">
        <f>SQRT((AK56-AK58)^2+(AL56-AL58)^2)</f>
        <v>54.53162357188377</v>
      </c>
      <c r="AL62" s="7"/>
      <c r="AM62" s="7"/>
      <c r="AN62" s="10"/>
      <c r="AO62" s="6">
        <f>SQRT((AO56-AO58)^2+(AP56-AP58)^2)</f>
        <v>54.53162357188377</v>
      </c>
      <c r="AP62" s="7"/>
      <c r="AQ62" s="7"/>
      <c r="AR62" s="10"/>
    </row>
    <row r="63" spans="1:44" ht="13.5" thickBot="1" x14ac:dyDescent="0.25">
      <c r="E63" s="60"/>
      <c r="F63" s="58">
        <v>0</v>
      </c>
      <c r="G63" s="55">
        <f>-G62</f>
        <v>-35.969557584733963</v>
      </c>
      <c r="I63" s="8">
        <f>J59*J65</f>
        <v>0</v>
      </c>
      <c r="J63" s="11">
        <f>K59*J65</f>
        <v>0</v>
      </c>
      <c r="M63" s="6">
        <f>RADIANS('Bowden kabel'!$D$15)</f>
        <v>0.69813170079773179</v>
      </c>
      <c r="N63" s="7"/>
      <c r="O63" s="7"/>
      <c r="P63" s="10"/>
      <c r="Q63" s="6">
        <f>RADIANS('Bowden kabel'!$D$15)</f>
        <v>0.69813170079773179</v>
      </c>
      <c r="R63" s="7"/>
      <c r="S63" s="7"/>
      <c r="T63" s="10"/>
      <c r="U63" s="6">
        <f>RADIANS('Bowden kabel'!$D$15)</f>
        <v>0.69813170079773179</v>
      </c>
      <c r="V63" s="7"/>
      <c r="W63" s="7"/>
      <c r="X63" s="10"/>
      <c r="Y63" s="6">
        <f>RADIANS('Bowden kabel'!$D$15)</f>
        <v>0.69813170079773179</v>
      </c>
      <c r="Z63" s="7"/>
      <c r="AA63" s="7"/>
      <c r="AB63" s="10"/>
      <c r="AC63" s="6">
        <f>RADIANS('Bowden kabel'!$D$15)</f>
        <v>0.69813170079773179</v>
      </c>
      <c r="AD63" s="7"/>
      <c r="AE63" s="7"/>
      <c r="AF63" s="10"/>
      <c r="AG63" s="6">
        <f>RADIANS('Bowden kabel'!$D$15)</f>
        <v>0.69813170079773179</v>
      </c>
      <c r="AH63" s="7"/>
      <c r="AI63" s="7"/>
      <c r="AJ63" s="10"/>
      <c r="AK63" s="6">
        <f>RADIANS('Bowden kabel'!$D$15)</f>
        <v>0.69813170079773179</v>
      </c>
      <c r="AL63" s="7"/>
      <c r="AM63" s="7"/>
      <c r="AN63" s="10"/>
      <c r="AO63" s="6">
        <f>RADIANS('Bowden kabel'!$D$15)</f>
        <v>0.69813170079773179</v>
      </c>
      <c r="AP63" s="7"/>
      <c r="AQ63" s="7"/>
      <c r="AR63" s="10"/>
    </row>
    <row r="64" spans="1:44" x14ac:dyDescent="0.2">
      <c r="E64" s="60"/>
      <c r="G64" s="59"/>
      <c r="M64" s="6"/>
      <c r="N64" s="7"/>
      <c r="O64" s="7"/>
      <c r="P64" s="10"/>
      <c r="Q64" s="6"/>
      <c r="R64" s="7"/>
      <c r="S64" s="7"/>
      <c r="T64" s="10"/>
      <c r="U64" s="6"/>
      <c r="V64" s="7"/>
      <c r="W64" s="7"/>
      <c r="X64" s="10"/>
      <c r="Y64" s="6"/>
      <c r="Z64" s="7"/>
      <c r="AA64" s="7"/>
      <c r="AB64" s="10"/>
      <c r="AC64" s="6"/>
      <c r="AD64" s="7"/>
      <c r="AE64" s="7"/>
      <c r="AF64" s="10"/>
      <c r="AG64" s="6"/>
      <c r="AH64" s="7"/>
      <c r="AI64" s="7"/>
      <c r="AJ64" s="10"/>
      <c r="AK64" s="6"/>
      <c r="AL64" s="7"/>
      <c r="AM64" s="7"/>
      <c r="AN64" s="10"/>
      <c r="AO64" s="6"/>
      <c r="AP64" s="7"/>
      <c r="AQ64" s="7"/>
      <c r="AR64" s="10"/>
    </row>
    <row r="65" spans="5:44" x14ac:dyDescent="0.2">
      <c r="E65" s="60"/>
      <c r="G65" s="59"/>
      <c r="J65" s="2">
        <f>IF(J66=TRUE,1,0)</f>
        <v>0</v>
      </c>
      <c r="M65" s="6"/>
      <c r="N65" s="7"/>
      <c r="O65" s="7"/>
      <c r="P65" s="10"/>
      <c r="Q65" s="6"/>
      <c r="R65" s="7"/>
      <c r="S65" s="7"/>
      <c r="T65" s="10"/>
      <c r="U65" s="6"/>
      <c r="V65" s="7"/>
      <c r="W65" s="7"/>
      <c r="X65" s="10"/>
      <c r="Y65" s="6"/>
      <c r="Z65" s="7"/>
      <c r="AA65" s="7"/>
      <c r="AB65" s="10"/>
      <c r="AC65" s="6"/>
      <c r="AD65" s="7"/>
      <c r="AE65" s="7"/>
      <c r="AF65" s="10"/>
      <c r="AG65" s="6"/>
      <c r="AH65" s="7"/>
      <c r="AI65" s="7"/>
      <c r="AJ65" s="10"/>
      <c r="AK65" s="6"/>
      <c r="AL65" s="7"/>
      <c r="AM65" s="7"/>
      <c r="AN65" s="10"/>
      <c r="AO65" s="6"/>
      <c r="AP65" s="7"/>
      <c r="AQ65" s="7"/>
      <c r="AR65" s="10"/>
    </row>
    <row r="66" spans="5:44" x14ac:dyDescent="0.2">
      <c r="J66" t="b">
        <v>0</v>
      </c>
      <c r="M66" s="6">
        <f>M62+M52</f>
        <v>56.119345919584418</v>
      </c>
      <c r="N66" s="7"/>
      <c r="O66" s="7">
        <f>M62-O52</f>
        <v>52.880083722274158</v>
      </c>
      <c r="P66" s="10"/>
      <c r="Q66" s="6">
        <f>Q62+Q52</f>
        <v>57.624665105917536</v>
      </c>
      <c r="R66" s="7"/>
      <c r="S66" s="7">
        <f>Q62-S52</f>
        <v>51.182240976565964</v>
      </c>
      <c r="T66" s="10"/>
      <c r="U66" s="6">
        <f>U62+U52</f>
        <v>59.02812767688868</v>
      </c>
      <c r="V66" s="7"/>
      <c r="W66" s="7">
        <f>U62-W52</f>
        <v>49.45443501659112</v>
      </c>
      <c r="X66" s="10"/>
      <c r="Y66" s="6">
        <f>Y62+Y52</f>
        <v>60.309743039819786</v>
      </c>
      <c r="Z66" s="7"/>
      <c r="AA66" s="7">
        <f>Y62-AA52</f>
        <v>47.711799056999091</v>
      </c>
      <c r="AB66" s="10"/>
      <c r="AC66" s="6">
        <f>AC62+AC52</f>
        <v>61.449464929500216</v>
      </c>
      <c r="AD66" s="7"/>
      <c r="AE66" s="7">
        <f>AC62-AE52</f>
        <v>45.968277420499859</v>
      </c>
      <c r="AF66" s="10"/>
      <c r="AG66" s="6">
        <f>AG62+AG52</f>
        <v>62.427834090482804</v>
      </c>
      <c r="AH66" s="7"/>
      <c r="AI66" s="7">
        <f>AG62-AI52</f>
        <v>44.236673881372923</v>
      </c>
      <c r="AJ66" s="10"/>
      <c r="AK66" s="6">
        <f>AK62+AK52</f>
        <v>63.226769253480143</v>
      </c>
      <c r="AL66" s="7"/>
      <c r="AM66" s="7">
        <f>AK62-AM52</f>
        <v>42.528717153481381</v>
      </c>
      <c r="AN66" s="10"/>
      <c r="AO66" s="6">
        <f>AO62+AO52</f>
        <v>63.830460770910925</v>
      </c>
      <c r="AP66" s="7"/>
      <c r="AQ66" s="7">
        <f>AO62-AQ52</f>
        <v>40.855133945400951</v>
      </c>
      <c r="AR66" s="10"/>
    </row>
    <row r="67" spans="5:44" x14ac:dyDescent="0.2">
      <c r="M67" s="6">
        <f>M60-M63</f>
        <v>0.56797197198176719</v>
      </c>
      <c r="N67" s="7"/>
      <c r="O67" s="7" t="e">
        <f>I60+I63</f>
        <v>#VALUE!</v>
      </c>
      <c r="P67" s="10"/>
      <c r="Q67" s="6">
        <f>Q60-Q63</f>
        <v>0.56797197198176719</v>
      </c>
      <c r="R67" s="7"/>
      <c r="S67" s="7">
        <f>N60+N63</f>
        <v>0</v>
      </c>
      <c r="T67" s="10"/>
      <c r="U67" s="6">
        <f>U60-U63</f>
        <v>0.56797197198176719</v>
      </c>
      <c r="V67" s="7"/>
      <c r="W67" s="7">
        <f>R60+R63</f>
        <v>0</v>
      </c>
      <c r="X67" s="10"/>
      <c r="Y67" s="6">
        <f>Y60-Y63</f>
        <v>0.56797197198176719</v>
      </c>
      <c r="Z67" s="7"/>
      <c r="AA67" s="7">
        <f>V60+V63</f>
        <v>0</v>
      </c>
      <c r="AB67" s="10"/>
      <c r="AC67" s="6">
        <f>AC60-AC63</f>
        <v>0.56797197198176719</v>
      </c>
      <c r="AD67" s="7"/>
      <c r="AE67" s="7">
        <f>Z60+Z63</f>
        <v>0</v>
      </c>
      <c r="AF67" s="10"/>
      <c r="AG67" s="6">
        <f>AG60-AG63</f>
        <v>0.56797197198176719</v>
      </c>
      <c r="AH67" s="7"/>
      <c r="AI67" s="7">
        <f>AD60+AD63</f>
        <v>0</v>
      </c>
      <c r="AJ67" s="10"/>
      <c r="AK67" s="6">
        <f>AK60-AK63</f>
        <v>0.56797197198176719</v>
      </c>
      <c r="AL67" s="7"/>
      <c r="AM67" s="7">
        <f>AH60+AH63</f>
        <v>0</v>
      </c>
      <c r="AN67" s="10"/>
      <c r="AO67" s="6">
        <f>AO60-AO63</f>
        <v>0.56797197198176719</v>
      </c>
      <c r="AP67" s="7"/>
      <c r="AQ67" s="7">
        <f>AL60+AL63</f>
        <v>0</v>
      </c>
      <c r="AR67" s="10"/>
    </row>
    <row r="68" spans="5:44" x14ac:dyDescent="0.2">
      <c r="M68" s="6" t="s">
        <v>1</v>
      </c>
      <c r="N68" s="7" t="s">
        <v>2</v>
      </c>
      <c r="O68" s="7" t="s">
        <v>1</v>
      </c>
      <c r="P68" s="10" t="s">
        <v>2</v>
      </c>
      <c r="Q68" s="6" t="s">
        <v>1</v>
      </c>
      <c r="R68" s="7" t="s">
        <v>2</v>
      </c>
      <c r="S68" s="7" t="s">
        <v>1</v>
      </c>
      <c r="T68" s="10" t="s">
        <v>2</v>
      </c>
      <c r="U68" s="6" t="s">
        <v>1</v>
      </c>
      <c r="V68" s="7" t="s">
        <v>2</v>
      </c>
      <c r="W68" s="7" t="s">
        <v>1</v>
      </c>
      <c r="X68" s="10" t="s">
        <v>2</v>
      </c>
      <c r="Y68" s="6" t="s">
        <v>1</v>
      </c>
      <c r="Z68" s="7" t="s">
        <v>2</v>
      </c>
      <c r="AA68" s="7" t="s">
        <v>1</v>
      </c>
      <c r="AB68" s="10" t="s">
        <v>2</v>
      </c>
      <c r="AC68" s="6" t="s">
        <v>1</v>
      </c>
      <c r="AD68" s="7" t="s">
        <v>2</v>
      </c>
      <c r="AE68" s="7" t="s">
        <v>1</v>
      </c>
      <c r="AF68" s="10" t="s">
        <v>2</v>
      </c>
      <c r="AG68" s="6" t="s">
        <v>1</v>
      </c>
      <c r="AH68" s="7" t="s">
        <v>2</v>
      </c>
      <c r="AI68" s="7" t="s">
        <v>1</v>
      </c>
      <c r="AJ68" s="10" t="s">
        <v>2</v>
      </c>
      <c r="AK68" s="6" t="s">
        <v>1</v>
      </c>
      <c r="AL68" s="7" t="s">
        <v>2</v>
      </c>
      <c r="AM68" s="7" t="s">
        <v>1</v>
      </c>
      <c r="AN68" s="10" t="s">
        <v>2</v>
      </c>
      <c r="AO68" s="6" t="s">
        <v>1</v>
      </c>
      <c r="AP68" s="7" t="s">
        <v>2</v>
      </c>
      <c r="AQ68" s="7" t="s">
        <v>1</v>
      </c>
      <c r="AR68" s="10" t="s">
        <v>2</v>
      </c>
    </row>
    <row r="69" spans="5:44" x14ac:dyDescent="0.2">
      <c r="M69" s="6">
        <f>M55</f>
        <v>0</v>
      </c>
      <c r="N69" s="7">
        <f>N55</f>
        <v>0</v>
      </c>
      <c r="O69" s="7">
        <f>M55</f>
        <v>0</v>
      </c>
      <c r="P69" s="10">
        <f>N55</f>
        <v>0</v>
      </c>
      <c r="Q69" s="6">
        <f>Q55</f>
        <v>0</v>
      </c>
      <c r="R69" s="7">
        <f>R55</f>
        <v>0</v>
      </c>
      <c r="S69" s="7">
        <f>Q55</f>
        <v>0</v>
      </c>
      <c r="T69" s="10">
        <f>R55</f>
        <v>0</v>
      </c>
      <c r="U69" s="6">
        <f>U55</f>
        <v>0</v>
      </c>
      <c r="V69" s="7">
        <f>V55</f>
        <v>0</v>
      </c>
      <c r="W69" s="7">
        <f>U55</f>
        <v>0</v>
      </c>
      <c r="X69" s="10">
        <f>V55</f>
        <v>0</v>
      </c>
      <c r="Y69" s="6">
        <f>Y55</f>
        <v>0</v>
      </c>
      <c r="Z69" s="7">
        <f>Z55</f>
        <v>0</v>
      </c>
      <c r="AA69" s="7">
        <f>Y55</f>
        <v>0</v>
      </c>
      <c r="AB69" s="10">
        <f>Z55</f>
        <v>0</v>
      </c>
      <c r="AC69" s="6">
        <f>AC55</f>
        <v>0</v>
      </c>
      <c r="AD69" s="7">
        <f>AD55</f>
        <v>0</v>
      </c>
      <c r="AE69" s="7">
        <f>AC55</f>
        <v>0</v>
      </c>
      <c r="AF69" s="10">
        <f>AD55</f>
        <v>0</v>
      </c>
      <c r="AG69" s="6">
        <f>AG55</f>
        <v>0</v>
      </c>
      <c r="AH69" s="7">
        <f>AH55</f>
        <v>0</v>
      </c>
      <c r="AI69" s="7">
        <f>AG55</f>
        <v>0</v>
      </c>
      <c r="AJ69" s="10">
        <f>AH55</f>
        <v>0</v>
      </c>
      <c r="AK69" s="6">
        <f>AK55</f>
        <v>0</v>
      </c>
      <c r="AL69" s="7">
        <f>AL55</f>
        <v>0</v>
      </c>
      <c r="AM69" s="7">
        <f>AK55</f>
        <v>0</v>
      </c>
      <c r="AN69" s="10">
        <f>AL55</f>
        <v>0</v>
      </c>
      <c r="AO69" s="6">
        <f>AO55</f>
        <v>0</v>
      </c>
      <c r="AP69" s="7">
        <f>AP55</f>
        <v>0</v>
      </c>
      <c r="AQ69" s="7">
        <f>AO55</f>
        <v>0</v>
      </c>
      <c r="AR69" s="10">
        <f>AP55</f>
        <v>0</v>
      </c>
    </row>
    <row r="70" spans="5:44" x14ac:dyDescent="0.2">
      <c r="M70" s="6"/>
      <c r="N70" s="7">
        <f>SQRT((M57-M56)^2+(N57-N56)^2)</f>
        <v>51.419840528729765</v>
      </c>
      <c r="O70" s="7"/>
      <c r="P70" s="10">
        <f>SQRT((M57-M56)^2+(N57-N56)^2)</f>
        <v>51.419840528729765</v>
      </c>
      <c r="Q70" s="6"/>
      <c r="R70" s="7">
        <f>SQRT((Q57-Q56)^2+(R57-R56)^2)</f>
        <v>51.419840528729765</v>
      </c>
      <c r="S70" s="7"/>
      <c r="T70" s="10">
        <f>SQRT((Q57-Q56)^2+(R57-R56)^2)</f>
        <v>51.419840528729765</v>
      </c>
      <c r="U70" s="6"/>
      <c r="V70" s="7">
        <f>SQRT((U57-U56)^2+(V57-V56)^2)</f>
        <v>51.419840528729765</v>
      </c>
      <c r="W70" s="7"/>
      <c r="X70" s="10">
        <f>SQRT((U57-U56)^2+(V57-V56)^2)</f>
        <v>51.419840528729765</v>
      </c>
      <c r="Y70" s="6"/>
      <c r="Z70" s="7">
        <f>SQRT((Y57-Y56)^2+(Z57-Z56)^2)</f>
        <v>51.419840528729765</v>
      </c>
      <c r="AA70" s="7"/>
      <c r="AB70" s="10">
        <f>SQRT((Y57-Y56)^2+(Z57-Z56)^2)</f>
        <v>51.419840528729765</v>
      </c>
      <c r="AC70" s="6"/>
      <c r="AD70" s="7">
        <f>SQRT((AC57-AC56)^2+(AD57-AD56)^2)</f>
        <v>51.419840528729765</v>
      </c>
      <c r="AE70" s="7"/>
      <c r="AF70" s="10">
        <f>SQRT((AC57-AC56)^2+(AD57-AD56)^2)</f>
        <v>51.419840528729765</v>
      </c>
      <c r="AG70" s="6"/>
      <c r="AH70" s="7">
        <f>SQRT((AG57-AG56)^2+(AH57-AH56)^2)</f>
        <v>51.419840528729765</v>
      </c>
      <c r="AI70" s="7"/>
      <c r="AJ70" s="10">
        <f>SQRT((AG57-AG56)^2+(AH57-AH56)^2)</f>
        <v>51.419840528729765</v>
      </c>
      <c r="AK70" s="6"/>
      <c r="AL70" s="7">
        <f>SQRT((AK57-AK56)^2+(AL57-AL56)^2)</f>
        <v>51.419840528729765</v>
      </c>
      <c r="AM70" s="7"/>
      <c r="AN70" s="10">
        <f>SQRT((AK57-AK56)^2+(AL57-AL56)^2)</f>
        <v>51.419840528729765</v>
      </c>
      <c r="AO70" s="6"/>
      <c r="AP70" s="7">
        <f>SQRT((AO57-AO56)^2+(AP57-AP56)^2)</f>
        <v>51.419840528729765</v>
      </c>
      <c r="AQ70" s="7"/>
      <c r="AR70" s="10">
        <f>SQRT((AO57-AO56)^2+(AP57-AP56)^2)</f>
        <v>51.419840528729765</v>
      </c>
    </row>
    <row r="71" spans="5:44" x14ac:dyDescent="0.2">
      <c r="M71" s="6"/>
      <c r="N71" s="7">
        <f>ATAN(N56/M57)</f>
        <v>0.23554498072086333</v>
      </c>
      <c r="O71" s="7"/>
      <c r="P71" s="10">
        <f>ATAN(N56/M57)</f>
        <v>0.23554498072086333</v>
      </c>
      <c r="Q71" s="6"/>
      <c r="R71" s="7">
        <f>ATAN(R56/Q57)</f>
        <v>0.23554498072086333</v>
      </c>
      <c r="S71" s="7"/>
      <c r="T71" s="10">
        <f>ATAN(R56/Q57)</f>
        <v>0.23554498072086333</v>
      </c>
      <c r="U71" s="6"/>
      <c r="V71" s="7">
        <f>ATAN(V56/U57)</f>
        <v>0.23554498072086333</v>
      </c>
      <c r="W71" s="7"/>
      <c r="X71" s="10">
        <f>ATAN(V56/U57)</f>
        <v>0.23554498072086333</v>
      </c>
      <c r="Y71" s="6"/>
      <c r="Z71" s="7">
        <f>ATAN(Z56/Y57)</f>
        <v>0.23554498072086333</v>
      </c>
      <c r="AA71" s="7"/>
      <c r="AB71" s="10">
        <f>ATAN(Z56/Y57)</f>
        <v>0.23554498072086333</v>
      </c>
      <c r="AC71" s="6"/>
      <c r="AD71" s="7">
        <f>ATAN(AD56/AC57)</f>
        <v>0.23554498072086333</v>
      </c>
      <c r="AE71" s="7"/>
      <c r="AF71" s="10">
        <f>ATAN(AD56/AC57)</f>
        <v>0.23554498072086333</v>
      </c>
      <c r="AG71" s="6"/>
      <c r="AH71" s="7">
        <f>ATAN(AH56/AG57)</f>
        <v>0.23554498072086333</v>
      </c>
      <c r="AI71" s="7"/>
      <c r="AJ71" s="10">
        <f>ATAN(AH56/AG57)</f>
        <v>0.23554498072086333</v>
      </c>
      <c r="AK71" s="6"/>
      <c r="AL71" s="7">
        <f>ATAN(AL56/AK57)</f>
        <v>0.23554498072086333</v>
      </c>
      <c r="AM71" s="7"/>
      <c r="AN71" s="10">
        <f>ATAN(AL56/AK57)</f>
        <v>0.23554498072086333</v>
      </c>
      <c r="AO71" s="6"/>
      <c r="AP71" s="7">
        <f>ATAN(AP56/AO57)</f>
        <v>0.23554498072086333</v>
      </c>
      <c r="AQ71" s="7"/>
      <c r="AR71" s="10">
        <f>ATAN(AP56/AO57)</f>
        <v>0.23554498072086333</v>
      </c>
    </row>
    <row r="72" spans="5:44" x14ac:dyDescent="0.2">
      <c r="M72" s="6"/>
      <c r="N72" s="7">
        <f>ACOS(('Bowden kabel'!$D$11^2+N70^2-M66^2)/(2*'Bowden kabel'!$D$11*N70))</f>
        <v>1.6220543361310911</v>
      </c>
      <c r="O72" s="7"/>
      <c r="P72" s="10">
        <f>ACOS(('Bowden kabel'!$D$11^2+P70^2-O66^2)/(2*'Bowden kabel'!$D$11*P70))</f>
        <v>1.4500747285331224</v>
      </c>
      <c r="Q72" s="6"/>
      <c r="R72" s="7">
        <f>ACOS(('Bowden kabel'!$D$11^2+R70^2-Q66^2)/(2*'Bowden kabel'!$D$11*R70))</f>
        <v>1.7056871735815271</v>
      </c>
      <c r="S72" s="7"/>
      <c r="T72" s="10">
        <f>ACOS(('Bowden kabel'!$D$11^2+T70^2-S66^2)/(2*'Bowden kabel'!$D$11*T70))</f>
        <v>1.3629735757504626</v>
      </c>
      <c r="U72" s="6"/>
      <c r="V72" s="7">
        <f>ACOS(('Bowden kabel'!$D$11^2+V70^2-U66^2)/(2*'Bowden kabel'!$D$11*V70))</f>
        <v>1.7865469598450581</v>
      </c>
      <c r="W72" s="7"/>
      <c r="X72" s="10">
        <f>ACOS(('Bowden kabel'!$D$11^2+X70^2-W66^2)/(2*'Bowden kabel'!$D$11*X70))</f>
        <v>1.2756606555195664</v>
      </c>
      <c r="Y72" s="6"/>
      <c r="Z72" s="7">
        <f>ACOS(('Bowden kabel'!$D$11^2+Z70^2-Y66^2)/(2*'Bowden kabel'!$D$11*Z70))</f>
        <v>1.8633953218898585</v>
      </c>
      <c r="AA72" s="7"/>
      <c r="AB72" s="10">
        <f>ACOS(('Bowden kabel'!$D$11^2+AB70^2-AA66^2)/(2*'Bowden kabel'!$D$11*AB70))</f>
        <v>1.1883463296849222</v>
      </c>
      <c r="AC72" s="6"/>
      <c r="AD72" s="7">
        <f>ACOS(('Bowden kabel'!$D$11^2+AD70^2-AC66^2)/(2*'Bowden kabel'!$D$11*AD70))</f>
        <v>1.9346857039320433</v>
      </c>
      <c r="AE72" s="7"/>
      <c r="AF72" s="10">
        <f>ACOS(('Bowden kabel'!$D$11^2+AF70^2-AE66^2)/(2*'Bowden kabel'!$D$11*AF70))</f>
        <v>1.1011104912233614</v>
      </c>
      <c r="AG72" s="6"/>
      <c r="AH72" s="7">
        <f>ACOS(('Bowden kabel'!$D$11^2+AH70^2-AG66^2)/(2*'Bowden kabel'!$D$11*AH70))</f>
        <v>1.9985601807910913</v>
      </c>
      <c r="AI72" s="7"/>
      <c r="AJ72" s="10">
        <f>ACOS(('Bowden kabel'!$D$11^2+AJ70^2-AI66^2)/(2*'Bowden kabel'!$D$11*AJ70))</f>
        <v>1.0139056675064557</v>
      </c>
      <c r="AK72" s="6"/>
      <c r="AL72" s="7">
        <f>ACOS(('Bowden kabel'!$D$11^2+AL70^2-AK66^2)/(2*'Bowden kabel'!$D$11*AL70))</f>
        <v>2.0529022625687627</v>
      </c>
      <c r="AM72" s="7"/>
      <c r="AN72" s="10">
        <f>ACOS(('Bowden kabel'!$D$11^2+AN70^2-AM66^2)/(2*'Bowden kabel'!$D$11*AN70))</f>
        <v>0.92654624224830306</v>
      </c>
      <c r="AO72" s="6"/>
      <c r="AP72" s="7">
        <f>ACOS(('Bowden kabel'!$D$11^2+AP70^2-AO66^2)/(2*'Bowden kabel'!$D$11*AP70))</f>
        <v>2.0954794714311977</v>
      </c>
      <c r="AQ72" s="7"/>
      <c r="AR72" s="10">
        <f>ACOS(('Bowden kabel'!$D$11^2+AR70^2-AQ66^2)/(2*'Bowden kabel'!$D$11*AR70))</f>
        <v>0.83867721366516212</v>
      </c>
    </row>
    <row r="73" spans="5:44" x14ac:dyDescent="0.2">
      <c r="M73" s="6"/>
      <c r="N73" s="7">
        <f>PI()-N72-N71</f>
        <v>1.2839933367378387</v>
      </c>
      <c r="O73" s="7"/>
      <c r="P73" s="10">
        <f>PI()-P72-P71</f>
        <v>1.4559729443358074</v>
      </c>
      <c r="Q73" s="6"/>
      <c r="R73" s="7">
        <f>PI()-R72-R71</f>
        <v>1.2003604992874026</v>
      </c>
      <c r="S73" s="7"/>
      <c r="T73" s="10">
        <f>PI()-T72-T71</f>
        <v>1.5430740971184671</v>
      </c>
      <c r="U73" s="6"/>
      <c r="V73" s="7">
        <f>PI()-V72-V71</f>
        <v>1.1195007130238717</v>
      </c>
      <c r="W73" s="7"/>
      <c r="X73" s="10">
        <f>PI()-X72-X71</f>
        <v>1.6303870173493633</v>
      </c>
      <c r="Y73" s="6"/>
      <c r="Z73" s="7">
        <f>PI()-Z72-Z71</f>
        <v>1.0426523509790713</v>
      </c>
      <c r="AA73" s="7"/>
      <c r="AB73" s="10">
        <f>PI()-AB72-AB71</f>
        <v>1.7177013431840076</v>
      </c>
      <c r="AC73" s="6"/>
      <c r="AD73" s="7">
        <f>PI()-AD72-AD71</f>
        <v>0.97136196893688642</v>
      </c>
      <c r="AE73" s="7"/>
      <c r="AF73" s="10">
        <f>PI()-AF72-AF71</f>
        <v>1.8049371816455684</v>
      </c>
      <c r="AG73" s="6"/>
      <c r="AH73" s="7">
        <f>PI()-AH72-AH71</f>
        <v>0.90748749207783841</v>
      </c>
      <c r="AI73" s="7"/>
      <c r="AJ73" s="10">
        <f>PI()-AJ72-AJ71</f>
        <v>1.892142005362474</v>
      </c>
      <c r="AK73" s="6"/>
      <c r="AL73" s="7">
        <f>PI()-AL72-AL71</f>
        <v>0.853145410300167</v>
      </c>
      <c r="AM73" s="7"/>
      <c r="AN73" s="10">
        <f>PI()-AN72-AN71</f>
        <v>1.9795014306206264</v>
      </c>
      <c r="AO73" s="6"/>
      <c r="AP73" s="7">
        <f>PI()-AP72-AP71</f>
        <v>0.81056820143773201</v>
      </c>
      <c r="AQ73" s="7"/>
      <c r="AR73" s="10">
        <f>PI()-AR72-AR71</f>
        <v>2.0673704592037678</v>
      </c>
    </row>
    <row r="74" spans="5:44" x14ac:dyDescent="0.2">
      <c r="M74" s="6" t="s">
        <v>1</v>
      </c>
      <c r="N74" s="7" t="s">
        <v>2</v>
      </c>
      <c r="O74" s="7" t="s">
        <v>1</v>
      </c>
      <c r="P74" s="10" t="s">
        <v>2</v>
      </c>
      <c r="Q74" s="6" t="s">
        <v>1</v>
      </c>
      <c r="R74" s="7" t="s">
        <v>2</v>
      </c>
      <c r="S74" s="7" t="s">
        <v>1</v>
      </c>
      <c r="T74" s="10" t="s">
        <v>2</v>
      </c>
      <c r="U74" s="6" t="s">
        <v>1</v>
      </c>
      <c r="V74" s="7" t="s">
        <v>2</v>
      </c>
      <c r="W74" s="7" t="s">
        <v>1</v>
      </c>
      <c r="X74" s="10" t="s">
        <v>2</v>
      </c>
      <c r="Y74" s="6" t="s">
        <v>1</v>
      </c>
      <c r="Z74" s="7" t="s">
        <v>2</v>
      </c>
      <c r="AA74" s="7" t="s">
        <v>1</v>
      </c>
      <c r="AB74" s="10" t="s">
        <v>2</v>
      </c>
      <c r="AC74" s="6" t="s">
        <v>1</v>
      </c>
      <c r="AD74" s="7" t="s">
        <v>2</v>
      </c>
      <c r="AE74" s="7" t="s">
        <v>1</v>
      </c>
      <c r="AF74" s="10" t="s">
        <v>2</v>
      </c>
      <c r="AG74" s="6" t="s">
        <v>1</v>
      </c>
      <c r="AH74" s="7" t="s">
        <v>2</v>
      </c>
      <c r="AI74" s="7" t="s">
        <v>1</v>
      </c>
      <c r="AJ74" s="10" t="s">
        <v>2</v>
      </c>
      <c r="AK74" s="6" t="s">
        <v>1</v>
      </c>
      <c r="AL74" s="7" t="s">
        <v>2</v>
      </c>
      <c r="AM74" s="7" t="s">
        <v>1</v>
      </c>
      <c r="AN74" s="10" t="s">
        <v>2</v>
      </c>
      <c r="AO74" s="6" t="s">
        <v>1</v>
      </c>
      <c r="AP74" s="7" t="s">
        <v>2</v>
      </c>
      <c r="AQ74" s="7" t="s">
        <v>1</v>
      </c>
      <c r="AR74" s="10" t="s">
        <v>2</v>
      </c>
    </row>
    <row r="75" spans="5:44" x14ac:dyDescent="0.2">
      <c r="M75" s="6">
        <f>M57+'Bowden kabel'!$D$11*COS(N73)</f>
        <v>55.657745075726112</v>
      </c>
      <c r="N75" s="7">
        <f>N57+'Bowden kabel'!$D$11*SIN(N73)</f>
        <v>19.183063380443098</v>
      </c>
      <c r="O75" s="7">
        <f>M57+'Bowden kabel'!$D$11*COS(P73)</f>
        <v>52.291424713218532</v>
      </c>
      <c r="P75" s="10">
        <f>J57+'Bowden kabel'!$D$11*SIN(P73)</f>
        <v>49.868300701963705</v>
      </c>
      <c r="Q75" s="6">
        <f>Q57+'Bowden kabel'!$D$11*COS(R73)</f>
        <v>57.240434630233395</v>
      </c>
      <c r="R75" s="7">
        <f>R57+'Bowden kabel'!$D$11*SIN(R73)</f>
        <v>18.643393102257889</v>
      </c>
      <c r="S75" s="7">
        <f>Q57+'Bowden kabel'!$D$11*COS(T73)</f>
        <v>50.554373579111115</v>
      </c>
      <c r="T75" s="10">
        <f>O57+'Bowden kabel'!$D$11*SIN(T73)</f>
        <v>19.992315271993476</v>
      </c>
      <c r="U75" s="6">
        <f>U57+'Bowden kabel'!$D$11*COS(V73)</f>
        <v>58.722636007618739</v>
      </c>
      <c r="V75" s="7">
        <f>V57+'Bowden kabel'!$D$11*SIN(V73)</f>
        <v>17.997655988450081</v>
      </c>
      <c r="W75" s="7">
        <f>U57+'Bowden kabel'!$D$11*COS(X73)</f>
        <v>48.80889142883381</v>
      </c>
      <c r="X75" s="10">
        <f>S57+'Bowden kabel'!$D$11*SIN(X73)</f>
        <v>19.964500003047771</v>
      </c>
      <c r="Y75" s="6">
        <f>Y57+'Bowden kabel'!$D$11*COS(Z73)</f>
        <v>60.078621611964437</v>
      </c>
      <c r="Z75" s="7">
        <f>Z57+'Bowden kabel'!$D$11*SIN(Z73)</f>
        <v>17.274877319473021</v>
      </c>
      <c r="AA75" s="7">
        <f>Y57+'Bowden kabel'!$D$11*COS(AB73)</f>
        <v>47.072456172991394</v>
      </c>
      <c r="AB75" s="10">
        <f>W57+'Bowden kabel'!$D$11*SIN(AB73)</f>
        <v>19.784577001819976</v>
      </c>
      <c r="AC75" s="6">
        <f>AC57+'Bowden kabel'!$D$11*COS(AD73)</f>
        <v>61.283510769717665</v>
      </c>
      <c r="AD75" s="7">
        <f>AD57+'Bowden kabel'!$D$11*SIN(AD73)</f>
        <v>16.513097368745377</v>
      </c>
      <c r="AE75" s="7">
        <f>AC57+'Bowden kabel'!$D$11*COS(AF73)</f>
        <v>45.359852625960784</v>
      </c>
      <c r="AF75" s="10">
        <f>AA57+'Bowden kabel'!$D$11*SIN(AF73)</f>
        <v>19.454280566168386</v>
      </c>
      <c r="AG75" s="6">
        <f>AG57+'Bowden kabel'!$D$11*COS(AH73)</f>
        <v>62.314548892163558</v>
      </c>
      <c r="AH75" s="7">
        <f>AH57+'Bowden kabel'!$D$11*SIN(AH73)</f>
        <v>15.759184166146206</v>
      </c>
      <c r="AI75" s="7">
        <f>AG57+'Bowden kabel'!$D$11*COS(AJ73)</f>
        <v>43.683127176564305</v>
      </c>
      <c r="AJ75" s="10">
        <f>AE57+'Bowden kabel'!$D$11*SIN(AJ73)</f>
        <v>18.976225065395372</v>
      </c>
      <c r="AK75" s="6">
        <f>AK57+'Bowden kabel'!$D$11*COS(AL73)</f>
        <v>63.152335997060213</v>
      </c>
      <c r="AL75" s="7">
        <f>AL57+'Bowden kabel'!$D$11*SIN(AL73)</f>
        <v>15.067052061383279</v>
      </c>
      <c r="AM75" s="7">
        <f>AK57+'Bowden kabel'!$D$11*COS(AN73)</f>
        <v>42.051571642275427</v>
      </c>
      <c r="AN75" s="10">
        <f>AI57+'Bowden kabel'!$D$11*SIN(AN73)</f>
        <v>18.352724229446697</v>
      </c>
      <c r="AO75" s="6">
        <f>AO57+'Bowden kabel'!$D$11*COS(AP73)</f>
        <v>63.781735613136227</v>
      </c>
      <c r="AP75" s="7">
        <f>AP57+'Bowden kabel'!$D$11*SIN(AP73)</f>
        <v>14.493576628617681</v>
      </c>
      <c r="AQ75" s="7">
        <f>AO57+'Bowden kabel'!$D$11*COS(AR73)</f>
        <v>40.471675011496067</v>
      </c>
      <c r="AR75" s="10">
        <f>AM57+'Bowden kabel'!$D$11*SIN(AR73)</f>
        <v>17.584397143873073</v>
      </c>
    </row>
    <row r="76" spans="5:44" x14ac:dyDescent="0.2">
      <c r="M76" s="6">
        <f>N73-M61</f>
        <v>-0.17271153186644339</v>
      </c>
      <c r="N76" s="7"/>
      <c r="O76" s="7">
        <f>P73-M61</f>
        <v>-7.3192426847468184E-4</v>
      </c>
      <c r="P76" s="10"/>
      <c r="Q76" s="6">
        <f>R73-Q61</f>
        <v>-0.25634436931687943</v>
      </c>
      <c r="R76" s="7"/>
      <c r="S76" s="7">
        <f>T73-Q61</f>
        <v>8.6369228514185048E-2</v>
      </c>
      <c r="T76" s="10"/>
      <c r="U76" s="6">
        <f>V73-U61</f>
        <v>-0.33720415558041039</v>
      </c>
      <c r="V76" s="7"/>
      <c r="W76" s="7">
        <f>X73-U61</f>
        <v>0.17368214874508126</v>
      </c>
      <c r="X76" s="10"/>
      <c r="Y76" s="6">
        <f>Z73-Y61</f>
        <v>-0.41405251762521078</v>
      </c>
      <c r="Z76" s="7"/>
      <c r="AA76" s="7">
        <f>AB73-Y61</f>
        <v>0.26099647457972552</v>
      </c>
      <c r="AB76" s="10"/>
      <c r="AC76" s="6">
        <f>AD73-AC61</f>
        <v>-0.48534289966739563</v>
      </c>
      <c r="AD76" s="7"/>
      <c r="AE76" s="7">
        <f>AF73-AC61</f>
        <v>0.34823231304128632</v>
      </c>
      <c r="AF76" s="10"/>
      <c r="AG76" s="6">
        <f>AH73-AG61</f>
        <v>-0.54921737652644365</v>
      </c>
      <c r="AH76" s="7"/>
      <c r="AI76" s="7">
        <f>AJ73-AG61</f>
        <v>0.43543713675819196</v>
      </c>
      <c r="AJ76" s="10"/>
      <c r="AK76" s="6">
        <f>AL73-AK61</f>
        <v>-0.60355945830411506</v>
      </c>
      <c r="AL76" s="7"/>
      <c r="AM76" s="7">
        <f>AN73-AK61</f>
        <v>0.52279656201634439</v>
      </c>
      <c r="AN76" s="10"/>
      <c r="AO76" s="6">
        <f>AP73-AO61</f>
        <v>-0.64613666716655005</v>
      </c>
      <c r="AP76" s="7"/>
      <c r="AQ76" s="7">
        <f>AR73-AO61</f>
        <v>0.61066559059948577</v>
      </c>
      <c r="AR76" s="10"/>
    </row>
    <row r="77" spans="5:44" x14ac:dyDescent="0.2">
      <c r="M77" s="6">
        <f>M57+'Bowden kabel'!$D$13*COS(M76)</f>
        <v>89.404896037358995</v>
      </c>
      <c r="N77" s="2">
        <f>N57+'Bowden kabel'!$D$13*SIN(M76)</f>
        <v>-6.8741667338615633</v>
      </c>
      <c r="O77" s="7">
        <f>M57+'Bowden kabel'!$D$13*COS(O76)</f>
        <v>89.999989285737783</v>
      </c>
      <c r="P77" s="10">
        <f>N57+'Bowden kabel'!$D$13*SIN(O76)</f>
        <v>-2.9276968124977713E-2</v>
      </c>
      <c r="Q77" s="6">
        <f>Q57+'Bowden kabel'!$D$13*COS(Q76)</f>
        <v>88.692932414410507</v>
      </c>
      <c r="R77" s="2">
        <f>R57+'Bowden kabel'!$D$13*SIN(Q76)</f>
        <v>-10.141843085645803</v>
      </c>
      <c r="S77" s="7">
        <f>Q57+'Bowden kabel'!$D$13*COS(S76)</f>
        <v>89.850899848064415</v>
      </c>
      <c r="T77" s="10">
        <f>R57+'Bowden kabel'!$D$13*SIN(S76)</f>
        <v>3.4504755178872664</v>
      </c>
      <c r="U77" s="6">
        <f>U57+'Bowden kabel'!$D$13*COS(U76)</f>
        <v>87.747334308189238</v>
      </c>
      <c r="V77" s="2">
        <f>V57+'Bowden kabel'!$D$13*SIN(U76)</f>
        <v>-13.233999872517728</v>
      </c>
      <c r="W77" s="7">
        <f>U57+'Bowden kabel'!$D$13*COS(W76)</f>
        <v>89.398205294530015</v>
      </c>
      <c r="X77" s="10">
        <f>V57+'Bowden kabel'!$D$13*SIN(W76)</f>
        <v>6.9124105469848827</v>
      </c>
      <c r="Y77" s="6">
        <f>Y57+'Bowden kabel'!$D$13*COS(Y76)</f>
        <v>86.619917001192874</v>
      </c>
      <c r="Z77" s="2">
        <f>Z57+'Bowden kabel'!$D$13*SIN(Y76)</f>
        <v>-16.092907718176484</v>
      </c>
      <c r="AA77" s="7">
        <f>Y57+'Bowden kabel'!$D$13*COS(AA76)</f>
        <v>88.645332965919295</v>
      </c>
      <c r="AB77" s="10">
        <f>Z57+'Bowden kabel'!$D$13*SIN(AA76)</f>
        <v>10.321736285782166</v>
      </c>
      <c r="AC77" s="6">
        <f>AC57+'Bowden kabel'!$D$13*COS(AC76)</f>
        <v>85.380601376405963</v>
      </c>
      <c r="AD77" s="2">
        <f>AD57+'Bowden kabel'!$D$13*SIN(AC76)</f>
        <v>-18.660467471203958</v>
      </c>
      <c r="AE77" s="7">
        <f>AC57+'Bowden kabel'!$D$13*COS(AE76)</f>
        <v>87.599095235099014</v>
      </c>
      <c r="AF77" s="10">
        <f>AD57+'Bowden kabel'!$D$13*SIN(AE76)</f>
        <v>13.649470227886303</v>
      </c>
      <c r="AG77" s="6">
        <f>AG57+'Bowden kabel'!$D$13*COS(AG76)</f>
        <v>84.117333129081089</v>
      </c>
      <c r="AH77" s="2">
        <f>AH57+'Bowden kabel'!$D$13*SIN(AG76)</f>
        <v>-20.880794528927925</v>
      </c>
      <c r="AI77" s="7">
        <f>AG57+'Bowden kabel'!$D$13*COS(AI76)</f>
        <v>86.267429667289775</v>
      </c>
      <c r="AJ77" s="10">
        <f>AH57+'Bowden kabel'!$D$13*SIN(AI76)</f>
        <v>16.872271492842604</v>
      </c>
      <c r="AK77" s="6">
        <f>AK57+'Bowden kabel'!$D$13*COS(AK76)</f>
        <v>82.932822776926514</v>
      </c>
      <c r="AL77" s="2">
        <f>AL57+'Bowden kabel'!$D$13*SIN(AK76)</f>
        <v>-22.703065518637565</v>
      </c>
      <c r="AM77" s="7">
        <f>AK57+'Bowden kabel'!$D$13*COS(AM76)</f>
        <v>84.657049274741738</v>
      </c>
      <c r="AN77" s="10">
        <f>AL57+'Bowden kabel'!$D$13*SIN(AM76)</f>
        <v>19.972204073865335</v>
      </c>
      <c r="AO77" s="6">
        <f>AO57+'Bowden kabel'!$D$13*COS(AO76)</f>
        <v>81.936635533647035</v>
      </c>
      <c r="AP77" s="2">
        <f>AP57+'Bowden kabel'!$D$13*SIN(AO76)</f>
        <v>-24.08425441634002</v>
      </c>
      <c r="AQ77" s="7">
        <f>AO57+'Bowden kabel'!$D$13*COS(AQ76)</f>
        <v>82.770661644838555</v>
      </c>
      <c r="AR77" s="10">
        <f>AP57+'Bowden kabel'!$D$13*SIN(AQ76)</f>
        <v>22.936515327300846</v>
      </c>
    </row>
    <row r="78" spans="5:44" x14ac:dyDescent="0.2">
      <c r="M78" s="6">
        <f>-'Bowden kabel'!$D$14+DEGREES(M76)</f>
        <v>-4.8956418491864326</v>
      </c>
      <c r="N78" s="7"/>
      <c r="O78" s="7">
        <f>-'Bowden kabel'!$D$14+DEGREES(O76)</f>
        <v>4.9580638284932004</v>
      </c>
      <c r="P78" s="10"/>
      <c r="Q78" s="6">
        <f>-'Bowden kabel'!$D$14+DEGREES(Q76)</f>
        <v>-9.6874504638000687</v>
      </c>
      <c r="R78" s="7"/>
      <c r="S78" s="7">
        <f>-'Bowden kabel'!$D$14+DEGREES(S76)</f>
        <v>9.9485922736637704</v>
      </c>
      <c r="T78" s="10"/>
      <c r="U78" s="6">
        <f>-'Bowden kabel'!$D$14+DEGREES(U76)</f>
        <v>-14.320374949030303</v>
      </c>
      <c r="V78" s="7"/>
      <c r="W78" s="7">
        <f>-'Bowden kabel'!$D$14+DEGREES(W76)</f>
        <v>14.951254099856543</v>
      </c>
      <c r="X78" s="10"/>
      <c r="Y78" s="6">
        <f>-'Bowden kabel'!$D$14+DEGREES(Y76)</f>
        <v>-18.72346175669071</v>
      </c>
      <c r="Z78" s="7"/>
      <c r="AA78" s="7">
        <f>-'Bowden kabel'!$D$14+DEGREES(AA76)</f>
        <v>19.953996461211752</v>
      </c>
      <c r="AB78" s="10"/>
      <c r="AC78" s="6">
        <f>-'Bowden kabel'!$D$14+DEGREES(AC76)</f>
        <v>-22.808099767583137</v>
      </c>
      <c r="AD78" s="7"/>
      <c r="AE78" s="7">
        <f>-'Bowden kabel'!$D$14+DEGREES(AE76)</f>
        <v>24.952241827344203</v>
      </c>
      <c r="AF78" s="10"/>
      <c r="AG78" s="6">
        <f>-'Bowden kabel'!$D$14+DEGREES(AG76)</f>
        <v>-26.467837710212631</v>
      </c>
      <c r="AH78" s="7"/>
      <c r="AI78" s="7">
        <f>-'Bowden kabel'!$D$14+DEGREES(AI76)</f>
        <v>29.948710179505241</v>
      </c>
      <c r="AJ78" s="10"/>
      <c r="AK78" s="6">
        <f>-'Bowden kabel'!$D$14+DEGREES(AK76)</f>
        <v>-29.581409646027979</v>
      </c>
      <c r="AL78" s="7"/>
      <c r="AM78" s="7">
        <f>-'Bowden kabel'!$D$14+DEGREES(AM76)</f>
        <v>34.954036547485941</v>
      </c>
      <c r="AN78" s="10"/>
      <c r="AO78" s="6">
        <f>-'Bowden kabel'!$D$14+DEGREES(AO76)</f>
        <v>-32.020904017292509</v>
      </c>
      <c r="AP78" s="7"/>
      <c r="AQ78" s="7">
        <f>-'Bowden kabel'!$D$14+DEGREES(AQ76)</f>
        <v>39.988561035214332</v>
      </c>
      <c r="AR78" s="10"/>
    </row>
    <row r="79" spans="5:44" ht="13.5" thickBot="1" x14ac:dyDescent="0.25">
      <c r="M79" s="8">
        <f>SQRT((M59-M77)^2+(N59-N77)^2)</f>
        <v>3.4167631614214384</v>
      </c>
      <c r="N79" s="9"/>
      <c r="O79" s="9">
        <f>SQRT((M59-O77)^2+(N59-P77)^2)</f>
        <v>3.4603016506548858</v>
      </c>
      <c r="P79" s="11"/>
      <c r="Q79" s="8">
        <f>SQRT((Q59-Q77)^2+(R59-R77)^2)</f>
        <v>6.7550633346097353</v>
      </c>
      <c r="R79" s="9"/>
      <c r="S79" s="9">
        <f>SQRT((Q59-S77)^2+(R59-T77)^2)</f>
        <v>6.9367059258247643</v>
      </c>
      <c r="T79" s="11"/>
      <c r="U79" s="8">
        <f>SQRT((U59-U77)^2+(V59-V77)^2)</f>
        <v>9.9715058308102371</v>
      </c>
      <c r="V79" s="9"/>
      <c r="W79" s="9">
        <f>SQRT((U59-W77)^2+(V59-X77)^2)</f>
        <v>10.40835451609248</v>
      </c>
      <c r="X79" s="11"/>
      <c r="Y79" s="8">
        <f>SQRT((Y59-Y77)^2+(Z59-Z77)^2)</f>
        <v>13.013357794834297</v>
      </c>
      <c r="Z79" s="9"/>
      <c r="AA79" s="9">
        <f>SQRT((Y59-AA77)^2+(Z59-AB77)^2)</f>
        <v>13.860224488207557</v>
      </c>
      <c r="AB79" s="11"/>
      <c r="AC79" s="8">
        <f>SQRT((AC59-AC77)^2+(AD59-AD77)^2)</f>
        <v>15.818130334664907</v>
      </c>
      <c r="AD79" s="9"/>
      <c r="AE79" s="9">
        <f>SQRT((AC59-AE77)^2+(AD59-AF77)^2)</f>
        <v>17.282616444442031</v>
      </c>
      <c r="AF79" s="11"/>
      <c r="AG79" s="8">
        <f>SQRT((AG59-AG77)^2+(AH59-AH77)^2)</f>
        <v>18.314174766993158</v>
      </c>
      <c r="AH79" s="9"/>
      <c r="AI79" s="9">
        <f>SQRT((AG59-AI77)^2+(AH59-AJ77)^2)</f>
        <v>20.670934581347751</v>
      </c>
      <c r="AJ79" s="11"/>
      <c r="AK79" s="8">
        <f>SQRT((AK59-AK77)^2+(AL59-AL77)^2)</f>
        <v>20.423112433721013</v>
      </c>
      <c r="AL79" s="9"/>
      <c r="AM79" s="9">
        <f>SQRT((AK59-AM77)^2+(AL59-AN77)^2)</f>
        <v>24.025858638331226</v>
      </c>
      <c r="AN79" s="11"/>
      <c r="AO79" s="8">
        <f>SQRT((AO59-AO77)^2+(AP59-AP77)^2)</f>
        <v>22.065016518122437</v>
      </c>
      <c r="AP79" s="9"/>
      <c r="AQ79" s="9">
        <f>SQRT((AO59-AQ77)^2+(AP59-AR77)^2)</f>
        <v>27.354107034735758</v>
      </c>
      <c r="AR79" s="11"/>
    </row>
  </sheetData>
  <phoneticPr fontId="0" type="noConversion"/>
  <pageMargins left="0.75" right="0.75" top="1" bottom="1"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AQ526"/>
  <sheetViews>
    <sheetView zoomScale="60" workbookViewId="0"/>
  </sheetViews>
  <sheetFormatPr defaultColWidth="11.5703125" defaultRowHeight="12.75" x14ac:dyDescent="0.2"/>
  <cols>
    <col min="1" max="1" width="3.7109375" customWidth="1"/>
    <col min="2" max="2" width="11.5703125" customWidth="1"/>
    <col min="3" max="3" width="11.7109375" bestFit="1" customWidth="1"/>
    <col min="4" max="5" width="7.5703125" bestFit="1" customWidth="1"/>
    <col min="6" max="6" width="3.28515625" customWidth="1"/>
    <col min="7" max="7" width="11.5703125" customWidth="1"/>
    <col min="8" max="8" width="11.7109375" bestFit="1" customWidth="1"/>
    <col min="9" max="9" width="7.28515625" customWidth="1"/>
    <col min="10" max="10" width="7.5703125" bestFit="1" customWidth="1"/>
    <col min="11" max="11" width="3.140625" customWidth="1"/>
    <col min="12" max="13" width="7.5703125" bestFit="1" customWidth="1"/>
    <col min="14" max="14" width="7.42578125" bestFit="1" customWidth="1"/>
    <col min="15" max="20" width="7.5703125" bestFit="1" customWidth="1"/>
    <col min="21" max="21" width="7.42578125" bestFit="1" customWidth="1"/>
    <col min="22" max="24" width="7.5703125" bestFit="1" customWidth="1"/>
    <col min="25" max="25" width="7.42578125" bestFit="1" customWidth="1"/>
    <col min="26" max="28" width="7.5703125" bestFit="1" customWidth="1"/>
    <col min="29" max="29" width="7.42578125" bestFit="1" customWidth="1"/>
    <col min="30" max="30" width="7.5703125" bestFit="1" customWidth="1"/>
    <col min="31" max="31" width="7.42578125" bestFit="1" customWidth="1"/>
    <col min="32" max="32" width="7.5703125" bestFit="1" customWidth="1"/>
    <col min="33" max="33" width="7.42578125" bestFit="1" customWidth="1"/>
    <col min="34" max="34" width="7.5703125" bestFit="1" customWidth="1"/>
    <col min="35" max="35" width="7.42578125" bestFit="1" customWidth="1"/>
    <col min="36" max="37" width="7.5703125" bestFit="1" customWidth="1"/>
    <col min="38" max="38" width="7.42578125" bestFit="1" customWidth="1"/>
    <col min="39" max="41" width="7.5703125" bestFit="1" customWidth="1"/>
    <col min="42" max="42" width="7.42578125" bestFit="1" customWidth="1"/>
    <col min="43" max="43" width="7.28515625" bestFit="1" customWidth="1"/>
  </cols>
  <sheetData>
    <row r="1" spans="1:43" ht="13.5" thickBot="1" x14ac:dyDescent="0.25">
      <c r="A1" s="9"/>
      <c r="B1" s="9"/>
      <c r="C1" s="9"/>
      <c r="D1" s="9"/>
      <c r="E1" s="9"/>
      <c r="F1" s="9"/>
      <c r="G1" s="9"/>
      <c r="H1" s="9"/>
      <c r="I1" s="9"/>
      <c r="J1" s="9"/>
      <c r="K1" s="9"/>
      <c r="L1" s="9"/>
      <c r="M1" s="9"/>
      <c r="N1" s="9"/>
      <c r="O1" s="9"/>
      <c r="P1" s="2"/>
    </row>
    <row r="2" spans="1:43" x14ac:dyDescent="0.2">
      <c r="A2" s="2"/>
      <c r="B2" s="15" t="s">
        <v>99</v>
      </c>
      <c r="C2" s="7"/>
      <c r="D2" s="7" t="s">
        <v>1</v>
      </c>
      <c r="E2" s="2" t="s">
        <v>2</v>
      </c>
      <c r="F2" s="2"/>
      <c r="G2" s="2"/>
      <c r="H2" s="2"/>
      <c r="I2" s="2"/>
      <c r="J2" s="2"/>
      <c r="K2" s="2"/>
      <c r="L2" s="39" t="s">
        <v>1</v>
      </c>
      <c r="M2" s="4" t="s">
        <v>2</v>
      </c>
      <c r="N2" s="4"/>
      <c r="O2" s="38" t="s">
        <v>118</v>
      </c>
      <c r="P2" s="39" t="s">
        <v>1</v>
      </c>
      <c r="Q2" s="4" t="s">
        <v>2</v>
      </c>
      <c r="R2" s="4"/>
      <c r="S2" s="38" t="s">
        <v>126</v>
      </c>
      <c r="T2" s="39" t="s">
        <v>1</v>
      </c>
      <c r="U2" s="4" t="s">
        <v>2</v>
      </c>
      <c r="V2" s="4"/>
      <c r="W2" s="38" t="s">
        <v>127</v>
      </c>
      <c r="X2" s="39" t="s">
        <v>1</v>
      </c>
      <c r="Y2" s="4" t="s">
        <v>2</v>
      </c>
      <c r="Z2" s="4"/>
      <c r="AA2" s="38" t="s">
        <v>128</v>
      </c>
      <c r="AB2" s="39" t="s">
        <v>1</v>
      </c>
      <c r="AC2" s="4" t="s">
        <v>2</v>
      </c>
      <c r="AD2" s="4"/>
      <c r="AE2" s="38" t="s">
        <v>129</v>
      </c>
      <c r="AF2" s="39" t="s">
        <v>1</v>
      </c>
      <c r="AG2" s="4" t="s">
        <v>2</v>
      </c>
      <c r="AH2" s="4"/>
      <c r="AI2" s="38" t="s">
        <v>130</v>
      </c>
      <c r="AJ2" s="39" t="s">
        <v>1</v>
      </c>
      <c r="AK2" s="4" t="s">
        <v>2</v>
      </c>
      <c r="AL2" s="4"/>
      <c r="AM2" s="38" t="s">
        <v>131</v>
      </c>
      <c r="AN2" s="39" t="s">
        <v>1</v>
      </c>
      <c r="AO2" s="4" t="s">
        <v>2</v>
      </c>
      <c r="AP2" s="4"/>
      <c r="AQ2" s="38" t="s">
        <v>132</v>
      </c>
    </row>
    <row r="3" spans="1:43" x14ac:dyDescent="0.2">
      <c r="A3" s="2"/>
      <c r="B3" s="13" t="s">
        <v>4</v>
      </c>
      <c r="C3" s="2"/>
      <c r="D3" s="13">
        <v>0</v>
      </c>
      <c r="E3" s="2">
        <v>0</v>
      </c>
      <c r="F3" s="2"/>
      <c r="G3" s="2"/>
      <c r="H3" s="2"/>
      <c r="I3" s="2"/>
      <c r="J3" s="2"/>
      <c r="K3" s="2"/>
      <c r="L3" s="40">
        <v>0</v>
      </c>
      <c r="M3" s="7">
        <v>0</v>
      </c>
      <c r="N3" s="7"/>
      <c r="O3" s="10"/>
      <c r="P3" s="40">
        <v>0</v>
      </c>
      <c r="Q3" s="7">
        <v>0</v>
      </c>
      <c r="R3" s="7"/>
      <c r="S3" s="10"/>
      <c r="T3" s="40">
        <v>0</v>
      </c>
      <c r="U3" s="7">
        <v>0</v>
      </c>
      <c r="V3" s="7"/>
      <c r="W3" s="10"/>
      <c r="X3" s="40">
        <v>0</v>
      </c>
      <c r="Y3" s="7">
        <v>0</v>
      </c>
      <c r="Z3" s="7"/>
      <c r="AA3" s="10"/>
      <c r="AB3" s="40">
        <v>0</v>
      </c>
      <c r="AC3" s="7">
        <v>0</v>
      </c>
      <c r="AD3" s="7"/>
      <c r="AE3" s="10"/>
      <c r="AF3" s="40">
        <v>0</v>
      </c>
      <c r="AG3" s="7">
        <v>0</v>
      </c>
      <c r="AH3" s="7"/>
      <c r="AI3" s="10"/>
      <c r="AJ3" s="40">
        <v>0</v>
      </c>
      <c r="AK3" s="7">
        <v>0</v>
      </c>
      <c r="AL3" s="7"/>
      <c r="AM3" s="10"/>
      <c r="AN3" s="40">
        <v>0</v>
      </c>
      <c r="AO3" s="7">
        <v>0</v>
      </c>
      <c r="AP3" s="7"/>
      <c r="AQ3" s="10"/>
    </row>
    <row r="4" spans="1:43" x14ac:dyDescent="0.2">
      <c r="A4" s="2"/>
      <c r="B4" s="2" t="s">
        <v>60</v>
      </c>
      <c r="C4" s="2"/>
      <c r="D4" s="2">
        <f>'P-P Kabels'!$D$7</f>
        <v>0</v>
      </c>
      <c r="E4" s="2">
        <f>SQRT('P-P Kabels'!$D$6^2-'P-P Kabels'!$D$7^2)</f>
        <v>20</v>
      </c>
      <c r="F4" s="2"/>
      <c r="G4" s="2"/>
      <c r="H4" s="2"/>
      <c r="I4" s="2"/>
      <c r="J4" s="2"/>
      <c r="K4" s="2"/>
      <c r="L4" s="6">
        <f>'P-P Kabels'!$D$7</f>
        <v>0</v>
      </c>
      <c r="M4" s="7">
        <f>SQRT('P-P Kabels'!$D$6^2-'P-P Kabels'!$D$7^2)</f>
        <v>20</v>
      </c>
      <c r="N4" s="7"/>
      <c r="O4" s="10"/>
      <c r="P4" s="6">
        <f>'P-P Kabels'!$D$7</f>
        <v>0</v>
      </c>
      <c r="Q4" s="7">
        <f>SQRT('P-P Kabels'!$D$6^2-'P-P Kabels'!$D$7^2)</f>
        <v>20</v>
      </c>
      <c r="R4" s="7"/>
      <c r="S4" s="10"/>
      <c r="T4" s="6">
        <f>'P-P Kabels'!$D$7</f>
        <v>0</v>
      </c>
      <c r="U4" s="7">
        <f>SQRT('P-P Kabels'!$D$6^2-'P-P Kabels'!$D$7^2)</f>
        <v>20</v>
      </c>
      <c r="V4" s="7"/>
      <c r="W4" s="10"/>
      <c r="X4" s="6">
        <f>'P-P Kabels'!$D$7</f>
        <v>0</v>
      </c>
      <c r="Y4" s="7">
        <f>SQRT('P-P Kabels'!$D$6^2-'P-P Kabels'!$D$7^2)</f>
        <v>20</v>
      </c>
      <c r="Z4" s="7"/>
      <c r="AA4" s="10"/>
      <c r="AB4" s="6">
        <f>'P-P Kabels'!$D$7</f>
        <v>0</v>
      </c>
      <c r="AC4" s="7">
        <f>SQRT('P-P Kabels'!$D$6^2-'P-P Kabels'!$D$7^2)</f>
        <v>20</v>
      </c>
      <c r="AD4" s="7"/>
      <c r="AE4" s="10"/>
      <c r="AF4" s="6">
        <f>'P-P Kabels'!$D$7</f>
        <v>0</v>
      </c>
      <c r="AG4" s="7">
        <f>SQRT('P-P Kabels'!$D$6^2-'P-P Kabels'!$D$7^2)</f>
        <v>20</v>
      </c>
      <c r="AH4" s="7"/>
      <c r="AI4" s="10"/>
      <c r="AJ4" s="6">
        <f>'P-P Kabels'!$D$7</f>
        <v>0</v>
      </c>
      <c r="AK4" s="7">
        <f>SQRT('P-P Kabels'!$D$6^2-'P-P Kabels'!$D$7^2)</f>
        <v>20</v>
      </c>
      <c r="AL4" s="7"/>
      <c r="AM4" s="10"/>
      <c r="AN4" s="6">
        <f>'P-P Kabels'!$D$7</f>
        <v>0</v>
      </c>
      <c r="AO4" s="7">
        <f>SQRT('P-P Kabels'!$D$6^2-'P-P Kabels'!$D$7^2)</f>
        <v>20</v>
      </c>
      <c r="AP4" s="7"/>
      <c r="AQ4" s="10"/>
    </row>
    <row r="5" spans="1:43" x14ac:dyDescent="0.2">
      <c r="A5" s="2"/>
      <c r="B5" s="2" t="s">
        <v>61</v>
      </c>
      <c r="C5" s="2"/>
      <c r="D5" s="2">
        <f>'P-P Kabels'!$D$7</f>
        <v>0</v>
      </c>
      <c r="E5" s="2">
        <f>-SQRT('P-P Kabels'!$D$6^2-'P-P Kabels'!$D$7^2)</f>
        <v>-20</v>
      </c>
      <c r="F5" s="2"/>
      <c r="G5" s="2"/>
      <c r="H5" s="2"/>
      <c r="I5" s="2"/>
      <c r="J5" s="2"/>
      <c r="K5" s="2"/>
      <c r="L5" s="6">
        <f>'P-P Kabels'!$D$7</f>
        <v>0</v>
      </c>
      <c r="M5" s="7">
        <f>-SQRT('P-P Kabels'!$D$6^2-'P-P Kabels'!$D$7^2)</f>
        <v>-20</v>
      </c>
      <c r="N5" s="7"/>
      <c r="O5" s="10"/>
      <c r="P5" s="6">
        <f>'P-P Kabels'!$D$7</f>
        <v>0</v>
      </c>
      <c r="Q5" s="7">
        <f>-SQRT('P-P Kabels'!$D$6^2-'P-P Kabels'!$D$7^2)</f>
        <v>-20</v>
      </c>
      <c r="R5" s="7"/>
      <c r="S5" s="10"/>
      <c r="T5" s="6">
        <f>'P-P Kabels'!$D$7</f>
        <v>0</v>
      </c>
      <c r="U5" s="7">
        <f>-SQRT('P-P Kabels'!$D$6^2-'P-P Kabels'!$D$7^2)</f>
        <v>-20</v>
      </c>
      <c r="V5" s="7"/>
      <c r="W5" s="10"/>
      <c r="X5" s="6">
        <f>'P-P Kabels'!$D$7</f>
        <v>0</v>
      </c>
      <c r="Y5" s="7">
        <f>-SQRT('P-P Kabels'!$D$6^2-'P-P Kabels'!$D$7^2)</f>
        <v>-20</v>
      </c>
      <c r="Z5" s="7"/>
      <c r="AA5" s="10"/>
      <c r="AB5" s="6">
        <f>'P-P Kabels'!$D$7</f>
        <v>0</v>
      </c>
      <c r="AC5" s="7">
        <f>-SQRT('P-P Kabels'!$D$6^2-'P-P Kabels'!$D$7^2)</f>
        <v>-20</v>
      </c>
      <c r="AD5" s="7"/>
      <c r="AE5" s="10"/>
      <c r="AF5" s="6">
        <f>'P-P Kabels'!$D$7</f>
        <v>0</v>
      </c>
      <c r="AG5" s="7">
        <f>-SQRT('P-P Kabels'!$D$6^2-'P-P Kabels'!$D$7^2)</f>
        <v>-20</v>
      </c>
      <c r="AH5" s="7"/>
      <c r="AI5" s="10"/>
      <c r="AJ5" s="6">
        <f>'P-P Kabels'!$D$7</f>
        <v>0</v>
      </c>
      <c r="AK5" s="7">
        <f>-SQRT('P-P Kabels'!$D$6^2-'P-P Kabels'!$D$7^2)</f>
        <v>-20</v>
      </c>
      <c r="AL5" s="7"/>
      <c r="AM5" s="10"/>
      <c r="AN5" s="6">
        <f>'P-P Kabels'!$D$7</f>
        <v>0</v>
      </c>
      <c r="AO5" s="7">
        <f>-SQRT('P-P Kabels'!$D$6^2-'P-P Kabels'!$D$7^2)</f>
        <v>-20</v>
      </c>
      <c r="AP5" s="7"/>
      <c r="AQ5" s="10"/>
    </row>
    <row r="6" spans="1:43" x14ac:dyDescent="0.2">
      <c r="A6" s="2"/>
      <c r="B6" s="2" t="s">
        <v>58</v>
      </c>
      <c r="C6" s="2"/>
      <c r="D6" s="2">
        <f>ACOS('P-P Kabels'!$D$7/'P-P Kabels'!$D$6)</f>
        <v>1.5707963267948966</v>
      </c>
      <c r="E6" s="2"/>
      <c r="F6" s="2"/>
      <c r="G6" s="2"/>
      <c r="H6" s="2"/>
      <c r="I6" s="2"/>
      <c r="J6" s="2"/>
      <c r="K6" s="2"/>
      <c r="L6" s="6">
        <f>ACOS('P-P Kabels'!$D$7/'P-P Kabels'!$D$6)</f>
        <v>1.5707963267948966</v>
      </c>
      <c r="M6" s="7"/>
      <c r="N6" s="7"/>
      <c r="O6" s="10"/>
      <c r="P6" s="6">
        <f>ACOS('P-P Kabels'!$D$7/'P-P Kabels'!$D$6)</f>
        <v>1.5707963267948966</v>
      </c>
      <c r="Q6" s="7"/>
      <c r="R6" s="7"/>
      <c r="S6" s="10"/>
      <c r="T6" s="6">
        <f>ACOS('P-P Kabels'!$D$7/'P-P Kabels'!$D$6)</f>
        <v>1.5707963267948966</v>
      </c>
      <c r="U6" s="7"/>
      <c r="V6" s="7"/>
      <c r="W6" s="10"/>
      <c r="X6" s="6">
        <f>ACOS('P-P Kabels'!$D$7/'P-P Kabels'!$D$6)</f>
        <v>1.5707963267948966</v>
      </c>
      <c r="Y6" s="7"/>
      <c r="Z6" s="7"/>
      <c r="AA6" s="10"/>
      <c r="AB6" s="6">
        <f>ACOS('P-P Kabels'!$D$7/'P-P Kabels'!$D$6)</f>
        <v>1.5707963267948966</v>
      </c>
      <c r="AC6" s="7"/>
      <c r="AD6" s="7"/>
      <c r="AE6" s="10"/>
      <c r="AF6" s="6">
        <f>ACOS('P-P Kabels'!$D$7/'P-P Kabels'!$D$6)</f>
        <v>1.5707963267948966</v>
      </c>
      <c r="AG6" s="7"/>
      <c r="AH6" s="7"/>
      <c r="AI6" s="10"/>
      <c r="AJ6" s="6">
        <f>ACOS('P-P Kabels'!$D$7/'P-P Kabels'!$D$6)</f>
        <v>1.5707963267948966</v>
      </c>
      <c r="AK6" s="7"/>
      <c r="AL6" s="7"/>
      <c r="AM6" s="10"/>
      <c r="AN6" s="6">
        <f>ACOS('P-P Kabels'!$D$7/'P-P Kabels'!$D$6)</f>
        <v>1.5707963267948966</v>
      </c>
      <c r="AO6" s="7"/>
      <c r="AP6" s="7"/>
      <c r="AQ6" s="10"/>
    </row>
    <row r="7" spans="1:43" x14ac:dyDescent="0.2">
      <c r="A7" s="2"/>
      <c r="B7" s="2" t="s">
        <v>59</v>
      </c>
      <c r="C7" s="2"/>
      <c r="D7" s="2">
        <f>-D6</f>
        <v>-1.5707963267948966</v>
      </c>
      <c r="E7" s="2"/>
      <c r="F7" s="2"/>
      <c r="G7" s="2"/>
      <c r="H7" s="2"/>
      <c r="I7" s="2"/>
      <c r="J7" s="2"/>
      <c r="K7" s="2"/>
      <c r="L7" s="6">
        <f>-L6</f>
        <v>-1.5707963267948966</v>
      </c>
      <c r="M7" s="7"/>
      <c r="N7" s="7"/>
      <c r="O7" s="10"/>
      <c r="P7" s="6">
        <f>-P6</f>
        <v>-1.5707963267948966</v>
      </c>
      <c r="Q7" s="7"/>
      <c r="R7" s="7"/>
      <c r="S7" s="10"/>
      <c r="T7" s="6">
        <f>-T6</f>
        <v>-1.5707963267948966</v>
      </c>
      <c r="U7" s="7"/>
      <c r="V7" s="7"/>
      <c r="W7" s="10"/>
      <c r="X7" s="6">
        <f>-X6</f>
        <v>-1.5707963267948966</v>
      </c>
      <c r="Y7" s="7"/>
      <c r="Z7" s="7"/>
      <c r="AA7" s="10"/>
      <c r="AB7" s="6">
        <f>-AB6</f>
        <v>-1.5707963267948966</v>
      </c>
      <c r="AC7" s="7"/>
      <c r="AD7" s="7"/>
      <c r="AE7" s="10"/>
      <c r="AF7" s="6">
        <f>-AF6</f>
        <v>-1.5707963267948966</v>
      </c>
      <c r="AG7" s="7"/>
      <c r="AH7" s="7"/>
      <c r="AI7" s="10"/>
      <c r="AJ7" s="6">
        <f>-AJ6</f>
        <v>-1.5707963267948966</v>
      </c>
      <c r="AK7" s="7"/>
      <c r="AL7" s="7"/>
      <c r="AM7" s="10"/>
      <c r="AN7" s="6">
        <f>-AN6</f>
        <v>-1.5707963267948966</v>
      </c>
      <c r="AO7" s="7"/>
      <c r="AP7" s="7"/>
      <c r="AQ7" s="10"/>
    </row>
    <row r="8" spans="1:43" x14ac:dyDescent="0.2">
      <c r="A8" s="2"/>
      <c r="B8" s="2" t="s">
        <v>56</v>
      </c>
      <c r="C8" s="2"/>
      <c r="D8" s="2">
        <f>'P-P Kabels'!$D$5</f>
        <v>500</v>
      </c>
      <c r="E8" s="2">
        <f>E3</f>
        <v>0</v>
      </c>
      <c r="F8" s="2"/>
      <c r="G8" s="2"/>
      <c r="H8" s="2"/>
      <c r="I8" s="2"/>
      <c r="J8" s="2"/>
      <c r="K8" s="2"/>
      <c r="L8" s="6">
        <f>'P-P Kabels'!$D$5</f>
        <v>500</v>
      </c>
      <c r="M8" s="7">
        <f>M3</f>
        <v>0</v>
      </c>
      <c r="N8" s="7"/>
      <c r="O8" s="10"/>
      <c r="P8" s="6">
        <f>'P-P Kabels'!$D$5</f>
        <v>500</v>
      </c>
      <c r="Q8" s="7">
        <f>Q3</f>
        <v>0</v>
      </c>
      <c r="R8" s="7"/>
      <c r="S8" s="10"/>
      <c r="T8" s="6">
        <f>'P-P Kabels'!$D$5</f>
        <v>500</v>
      </c>
      <c r="U8" s="7">
        <f>U3</f>
        <v>0</v>
      </c>
      <c r="V8" s="7"/>
      <c r="W8" s="10"/>
      <c r="X8" s="6">
        <f>'P-P Kabels'!$D$5</f>
        <v>500</v>
      </c>
      <c r="Y8" s="7">
        <f>Y3</f>
        <v>0</v>
      </c>
      <c r="Z8" s="7"/>
      <c r="AA8" s="10"/>
      <c r="AB8" s="6">
        <f>'P-P Kabels'!$D$5</f>
        <v>500</v>
      </c>
      <c r="AC8" s="7">
        <f>AC3</f>
        <v>0</v>
      </c>
      <c r="AD8" s="7"/>
      <c r="AE8" s="10"/>
      <c r="AF8" s="6">
        <f>'P-P Kabels'!$D$5</f>
        <v>500</v>
      </c>
      <c r="AG8" s="7">
        <f>AG3</f>
        <v>0</v>
      </c>
      <c r="AH8" s="7"/>
      <c r="AI8" s="10"/>
      <c r="AJ8" s="6">
        <f>'P-P Kabels'!$D$5</f>
        <v>500</v>
      </c>
      <c r="AK8" s="7">
        <f>AK3</f>
        <v>0</v>
      </c>
      <c r="AL8" s="7"/>
      <c r="AM8" s="10"/>
      <c r="AN8" s="6">
        <f>'P-P Kabels'!$D$5</f>
        <v>500</v>
      </c>
      <c r="AO8" s="7">
        <f>AO3</f>
        <v>0</v>
      </c>
      <c r="AP8" s="7"/>
      <c r="AQ8" s="10"/>
    </row>
    <row r="9" spans="1:43" x14ac:dyDescent="0.2">
      <c r="A9" s="2"/>
      <c r="B9" s="2" t="s">
        <v>64</v>
      </c>
      <c r="C9" s="2"/>
      <c r="D9" s="2">
        <f>'P-P Kabels'!$D$5+'P-P Kabels'!$D$9</f>
        <v>500.5</v>
      </c>
      <c r="E9" s="2">
        <f>SQRT('P-P Kabels'!$D$8^2-'P-P Kabels'!$D$9^2)</f>
        <v>29.995833043941285</v>
      </c>
      <c r="F9" s="2"/>
      <c r="G9" s="2"/>
      <c r="H9" s="2"/>
      <c r="I9" s="2"/>
      <c r="J9" s="2"/>
      <c r="K9" s="2"/>
      <c r="L9" s="6">
        <f>'P-P Kabels'!$D$5+'P-P Kabels'!$D$9</f>
        <v>500.5</v>
      </c>
      <c r="M9" s="7">
        <f>SQRT('P-P Kabels'!$D$8^2-'P-P Kabels'!$D$9^2)</f>
        <v>29.995833043941285</v>
      </c>
      <c r="N9" s="7"/>
      <c r="O9" s="10"/>
      <c r="P9" s="6">
        <f>'P-P Kabels'!$D$5+'P-P Kabels'!$D$9</f>
        <v>500.5</v>
      </c>
      <c r="Q9" s="7">
        <f>SQRT('P-P Kabels'!$D$8^2-'P-P Kabels'!$D$9^2)</f>
        <v>29.995833043941285</v>
      </c>
      <c r="R9" s="7"/>
      <c r="S9" s="10"/>
      <c r="T9" s="6">
        <f>'P-P Kabels'!$D$5+'P-P Kabels'!$D$9</f>
        <v>500.5</v>
      </c>
      <c r="U9" s="7">
        <f>SQRT('P-P Kabels'!$D$8^2-'P-P Kabels'!$D$9^2)</f>
        <v>29.995833043941285</v>
      </c>
      <c r="V9" s="7"/>
      <c r="W9" s="10"/>
      <c r="X9" s="6">
        <f>'P-P Kabels'!$D$5+'P-P Kabels'!$D$9</f>
        <v>500.5</v>
      </c>
      <c r="Y9" s="7">
        <f>SQRT('P-P Kabels'!$D$8^2-'P-P Kabels'!$D$9^2)</f>
        <v>29.995833043941285</v>
      </c>
      <c r="Z9" s="7"/>
      <c r="AA9" s="10"/>
      <c r="AB9" s="6">
        <f>'P-P Kabels'!$D$5+'P-P Kabels'!$D$9</f>
        <v>500.5</v>
      </c>
      <c r="AC9" s="7">
        <f>SQRT('P-P Kabels'!$D$8^2-'P-P Kabels'!$D$9^2)</f>
        <v>29.995833043941285</v>
      </c>
      <c r="AD9" s="7"/>
      <c r="AE9" s="10"/>
      <c r="AF9" s="6">
        <f>'P-P Kabels'!$D$5+'P-P Kabels'!$D$9</f>
        <v>500.5</v>
      </c>
      <c r="AG9" s="7">
        <f>SQRT('P-P Kabels'!$D$8^2-'P-P Kabels'!$D$9^2)</f>
        <v>29.995833043941285</v>
      </c>
      <c r="AH9" s="7"/>
      <c r="AI9" s="10"/>
      <c r="AJ9" s="6">
        <f>'P-P Kabels'!$D$5+'P-P Kabels'!$D$9</f>
        <v>500.5</v>
      </c>
      <c r="AK9" s="7">
        <f>SQRT('P-P Kabels'!$D$8^2-'P-P Kabels'!$D$9^2)</f>
        <v>29.995833043941285</v>
      </c>
      <c r="AL9" s="7"/>
      <c r="AM9" s="10"/>
      <c r="AN9" s="6">
        <f>'P-P Kabels'!$D$5+'P-P Kabels'!$D$9</f>
        <v>500.5</v>
      </c>
      <c r="AO9" s="7">
        <f>SQRT('P-P Kabels'!$D$8^2-'P-P Kabels'!$D$9^2)</f>
        <v>29.995833043941285</v>
      </c>
      <c r="AP9" s="7"/>
      <c r="AQ9" s="10"/>
    </row>
    <row r="10" spans="1:43" x14ac:dyDescent="0.2">
      <c r="A10" s="2"/>
      <c r="B10" s="2" t="s">
        <v>65</v>
      </c>
      <c r="C10" s="2"/>
      <c r="D10" s="2">
        <f>'P-P Kabels'!$D$5+'P-P Kabels'!$D$9</f>
        <v>500.5</v>
      </c>
      <c r="E10" s="2">
        <f>-SQRT('P-P Kabels'!$D$8^2-'P-P Kabels'!$D$9^2)</f>
        <v>-29.995833043941285</v>
      </c>
      <c r="F10" s="2"/>
      <c r="G10" s="2"/>
      <c r="H10" s="2"/>
      <c r="I10" s="2"/>
      <c r="J10" s="2"/>
      <c r="K10" s="2"/>
      <c r="L10" s="6">
        <f>'P-P Kabels'!$D$5+'P-P Kabels'!$D$9</f>
        <v>500.5</v>
      </c>
      <c r="M10" s="7">
        <f>-SQRT('P-P Kabels'!$D$8^2-'P-P Kabels'!$D$9^2)</f>
        <v>-29.995833043941285</v>
      </c>
      <c r="N10" s="7"/>
      <c r="O10" s="10"/>
      <c r="P10" s="6">
        <f>'P-P Kabels'!$D$5+'P-P Kabels'!$D$9</f>
        <v>500.5</v>
      </c>
      <c r="Q10" s="7">
        <f>-SQRT('P-P Kabels'!$D$8^2-'P-P Kabels'!$D$9^2)</f>
        <v>-29.995833043941285</v>
      </c>
      <c r="R10" s="7"/>
      <c r="S10" s="10"/>
      <c r="T10" s="6">
        <f>'P-P Kabels'!$D$5+'P-P Kabels'!$D$9</f>
        <v>500.5</v>
      </c>
      <c r="U10" s="7">
        <f>-SQRT('P-P Kabels'!$D$8^2-'P-P Kabels'!$D$9^2)</f>
        <v>-29.995833043941285</v>
      </c>
      <c r="V10" s="7"/>
      <c r="W10" s="10"/>
      <c r="X10" s="6">
        <f>'P-P Kabels'!$D$5+'P-P Kabels'!$D$9</f>
        <v>500.5</v>
      </c>
      <c r="Y10" s="7">
        <f>-SQRT('P-P Kabels'!$D$8^2-'P-P Kabels'!$D$9^2)</f>
        <v>-29.995833043941285</v>
      </c>
      <c r="Z10" s="7"/>
      <c r="AA10" s="10"/>
      <c r="AB10" s="6">
        <f>'P-P Kabels'!$D$5+'P-P Kabels'!$D$9</f>
        <v>500.5</v>
      </c>
      <c r="AC10" s="7">
        <f>-SQRT('P-P Kabels'!$D$8^2-'P-P Kabels'!$D$9^2)</f>
        <v>-29.995833043941285</v>
      </c>
      <c r="AD10" s="7"/>
      <c r="AE10" s="10"/>
      <c r="AF10" s="6">
        <f>'P-P Kabels'!$D$5+'P-P Kabels'!$D$9</f>
        <v>500.5</v>
      </c>
      <c r="AG10" s="7">
        <f>-SQRT('P-P Kabels'!$D$8^2-'P-P Kabels'!$D$9^2)</f>
        <v>-29.995833043941285</v>
      </c>
      <c r="AH10" s="7"/>
      <c r="AI10" s="10"/>
      <c r="AJ10" s="6">
        <f>'P-P Kabels'!$D$5+'P-P Kabels'!$D$9</f>
        <v>500.5</v>
      </c>
      <c r="AK10" s="7">
        <f>-SQRT('P-P Kabels'!$D$8^2-'P-P Kabels'!$D$9^2)</f>
        <v>-29.995833043941285</v>
      </c>
      <c r="AL10" s="7"/>
      <c r="AM10" s="10"/>
      <c r="AN10" s="6">
        <f>'P-P Kabels'!$D$5+'P-P Kabels'!$D$9</f>
        <v>500.5</v>
      </c>
      <c r="AO10" s="7">
        <f>-SQRT('P-P Kabels'!$D$8^2-'P-P Kabels'!$D$9^2)</f>
        <v>-29.995833043941285</v>
      </c>
      <c r="AP10" s="7"/>
      <c r="AQ10" s="10"/>
    </row>
    <row r="11" spans="1:43" x14ac:dyDescent="0.2">
      <c r="A11" s="2"/>
      <c r="B11" s="2" t="s">
        <v>67</v>
      </c>
      <c r="C11" s="2"/>
      <c r="D11" s="2">
        <f>ACOS('P-P Kabels'!$D$9/'P-P Kabels'!$D$8)</f>
        <v>1.554128888426825</v>
      </c>
      <c r="E11" s="2"/>
      <c r="F11" s="2"/>
      <c r="G11" s="2"/>
      <c r="H11" s="2"/>
      <c r="I11" s="2"/>
      <c r="J11" s="2"/>
      <c r="K11" s="2"/>
      <c r="L11" s="6">
        <f>ACOS('P-P Kabels'!$D$9/'P-P Kabels'!$D$8)</f>
        <v>1.554128888426825</v>
      </c>
      <c r="M11" s="7"/>
      <c r="N11" s="7"/>
      <c r="O11" s="10"/>
      <c r="P11" s="6">
        <f>ACOS('P-P Kabels'!$D$9/'P-P Kabels'!$D$8)</f>
        <v>1.554128888426825</v>
      </c>
      <c r="Q11" s="7"/>
      <c r="R11" s="7"/>
      <c r="S11" s="10"/>
      <c r="T11" s="6">
        <f>ACOS('P-P Kabels'!$D$9/'P-P Kabels'!$D$8)</f>
        <v>1.554128888426825</v>
      </c>
      <c r="U11" s="7"/>
      <c r="V11" s="7"/>
      <c r="W11" s="10"/>
      <c r="X11" s="6">
        <f>ACOS('P-P Kabels'!$D$9/'P-P Kabels'!$D$8)</f>
        <v>1.554128888426825</v>
      </c>
      <c r="Y11" s="7"/>
      <c r="Z11" s="7"/>
      <c r="AA11" s="10"/>
      <c r="AB11" s="6">
        <f>ACOS('P-P Kabels'!$D$9/'P-P Kabels'!$D$8)</f>
        <v>1.554128888426825</v>
      </c>
      <c r="AC11" s="7"/>
      <c r="AD11" s="7"/>
      <c r="AE11" s="10"/>
      <c r="AF11" s="6">
        <f>ACOS('P-P Kabels'!$D$9/'P-P Kabels'!$D$8)</f>
        <v>1.554128888426825</v>
      </c>
      <c r="AG11" s="7"/>
      <c r="AH11" s="7"/>
      <c r="AI11" s="10"/>
      <c r="AJ11" s="6">
        <f>ACOS('P-P Kabels'!$D$9/'P-P Kabels'!$D$8)</f>
        <v>1.554128888426825</v>
      </c>
      <c r="AK11" s="7"/>
      <c r="AL11" s="7"/>
      <c r="AM11" s="10"/>
      <c r="AN11" s="6">
        <f>ACOS('P-P Kabels'!$D$9/'P-P Kabels'!$D$8)</f>
        <v>1.554128888426825</v>
      </c>
      <c r="AO11" s="7"/>
      <c r="AP11" s="7"/>
      <c r="AQ11" s="10"/>
    </row>
    <row r="12" spans="1:43" x14ac:dyDescent="0.2">
      <c r="A12" s="2"/>
      <c r="B12" s="2" t="s">
        <v>66</v>
      </c>
      <c r="C12" s="2"/>
      <c r="D12" s="2">
        <f>-D11</f>
        <v>-1.554128888426825</v>
      </c>
      <c r="E12" s="2"/>
      <c r="F12" s="2"/>
      <c r="G12" s="2"/>
      <c r="H12" s="2"/>
      <c r="I12" s="2"/>
      <c r="J12" s="2"/>
      <c r="K12" s="2"/>
      <c r="L12" s="6">
        <f>-L11</f>
        <v>-1.554128888426825</v>
      </c>
      <c r="M12" s="7"/>
      <c r="N12" s="7"/>
      <c r="O12" s="10"/>
      <c r="P12" s="6">
        <f>-P11</f>
        <v>-1.554128888426825</v>
      </c>
      <c r="Q12" s="7"/>
      <c r="R12" s="7"/>
      <c r="S12" s="10"/>
      <c r="T12" s="6">
        <f>-T11</f>
        <v>-1.554128888426825</v>
      </c>
      <c r="U12" s="7"/>
      <c r="V12" s="7"/>
      <c r="W12" s="10"/>
      <c r="X12" s="6">
        <f>-X11</f>
        <v>-1.554128888426825</v>
      </c>
      <c r="Y12" s="7"/>
      <c r="Z12" s="7"/>
      <c r="AA12" s="10"/>
      <c r="AB12" s="6">
        <f>-AB11</f>
        <v>-1.554128888426825</v>
      </c>
      <c r="AC12" s="7"/>
      <c r="AD12" s="7"/>
      <c r="AE12" s="10"/>
      <c r="AF12" s="6">
        <f>-AF11</f>
        <v>-1.554128888426825</v>
      </c>
      <c r="AG12" s="7"/>
      <c r="AH12" s="7"/>
      <c r="AI12" s="10"/>
      <c r="AJ12" s="6">
        <f>-AJ11</f>
        <v>-1.554128888426825</v>
      </c>
      <c r="AK12" s="7"/>
      <c r="AL12" s="7"/>
      <c r="AM12" s="10"/>
      <c r="AN12" s="6">
        <f>-AN11</f>
        <v>-1.554128888426825</v>
      </c>
      <c r="AO12" s="7"/>
      <c r="AP12" s="7"/>
      <c r="AQ12" s="10"/>
    </row>
    <row r="13" spans="1:43" x14ac:dyDescent="0.2">
      <c r="A13" s="2"/>
      <c r="B13" s="2" t="s">
        <v>62</v>
      </c>
      <c r="C13" s="2"/>
      <c r="D13" s="2">
        <f>RADIANS('P-P Kabels'!$D$11)</f>
        <v>0</v>
      </c>
      <c r="E13" s="2"/>
      <c r="F13" s="2"/>
      <c r="G13" s="2"/>
      <c r="H13" s="2"/>
      <c r="I13" s="2"/>
      <c r="J13" s="2"/>
      <c r="K13" s="2"/>
      <c r="L13" s="6">
        <f>RADIANS('P-P Kabels'!$D$11)</f>
        <v>0</v>
      </c>
      <c r="M13" s="7"/>
      <c r="N13" s="7"/>
      <c r="O13" s="10"/>
      <c r="P13" s="6">
        <f>RADIANS('P-P Kabels'!$D$11)</f>
        <v>0</v>
      </c>
      <c r="Q13" s="7"/>
      <c r="R13" s="7"/>
      <c r="S13" s="10"/>
      <c r="T13" s="6">
        <f>RADIANS('P-P Kabels'!$D$11)</f>
        <v>0</v>
      </c>
      <c r="U13" s="7"/>
      <c r="V13" s="7"/>
      <c r="W13" s="10"/>
      <c r="X13" s="6">
        <f>RADIANS('P-P Kabels'!$D$11)</f>
        <v>0</v>
      </c>
      <c r="Y13" s="7"/>
      <c r="Z13" s="7"/>
      <c r="AA13" s="10"/>
      <c r="AB13" s="6">
        <f>RADIANS('P-P Kabels'!$D$11)</f>
        <v>0</v>
      </c>
      <c r="AC13" s="7"/>
      <c r="AD13" s="7"/>
      <c r="AE13" s="10"/>
      <c r="AF13" s="6">
        <f>RADIANS('P-P Kabels'!$D$11)</f>
        <v>0</v>
      </c>
      <c r="AG13" s="7"/>
      <c r="AH13" s="7"/>
      <c r="AI13" s="10"/>
      <c r="AJ13" s="6">
        <f>RADIANS('P-P Kabels'!$D$11)</f>
        <v>0</v>
      </c>
      <c r="AK13" s="7"/>
      <c r="AL13" s="7"/>
      <c r="AM13" s="10"/>
      <c r="AN13" s="6">
        <f>RADIANS('P-P Kabels'!$D$11)</f>
        <v>0</v>
      </c>
      <c r="AO13" s="7"/>
      <c r="AP13" s="7"/>
      <c r="AQ13" s="10"/>
    </row>
    <row r="14" spans="1:43" x14ac:dyDescent="0.2">
      <c r="A14" s="2"/>
      <c r="B14" s="2" t="s">
        <v>76</v>
      </c>
      <c r="C14" s="2"/>
      <c r="D14" s="2">
        <f>D11-D13</f>
        <v>1.554128888426825</v>
      </c>
      <c r="E14" s="2"/>
      <c r="F14" s="2"/>
      <c r="G14" s="2"/>
      <c r="H14" s="2"/>
      <c r="I14" s="2"/>
      <c r="J14" s="2"/>
      <c r="K14" s="2"/>
      <c r="L14" s="6">
        <f>L11-L13</f>
        <v>1.554128888426825</v>
      </c>
      <c r="M14" s="7"/>
      <c r="N14" s="7"/>
      <c r="O14" s="10"/>
      <c r="P14" s="6">
        <f>P11-P13</f>
        <v>1.554128888426825</v>
      </c>
      <c r="Q14" s="7"/>
      <c r="R14" s="7"/>
      <c r="S14" s="10"/>
      <c r="T14" s="6">
        <f>T11-T13</f>
        <v>1.554128888426825</v>
      </c>
      <c r="U14" s="7"/>
      <c r="V14" s="7"/>
      <c r="W14" s="10"/>
      <c r="X14" s="6">
        <f>X11-X13</f>
        <v>1.554128888426825</v>
      </c>
      <c r="Y14" s="7"/>
      <c r="Z14" s="7"/>
      <c r="AA14" s="10"/>
      <c r="AB14" s="6">
        <f>AB11-AB13</f>
        <v>1.554128888426825</v>
      </c>
      <c r="AC14" s="7"/>
      <c r="AD14" s="7"/>
      <c r="AE14" s="10"/>
      <c r="AF14" s="6">
        <f>AF11-AF13</f>
        <v>1.554128888426825</v>
      </c>
      <c r="AG14" s="7"/>
      <c r="AH14" s="7"/>
      <c r="AI14" s="10"/>
      <c r="AJ14" s="6">
        <f>AJ11-AJ13</f>
        <v>1.554128888426825</v>
      </c>
      <c r="AK14" s="7"/>
      <c r="AL14" s="7"/>
      <c r="AM14" s="10"/>
      <c r="AN14" s="6">
        <f>AN11-AN13</f>
        <v>1.554128888426825</v>
      </c>
      <c r="AO14" s="7"/>
      <c r="AP14" s="7"/>
      <c r="AQ14" s="10"/>
    </row>
    <row r="15" spans="1:43" x14ac:dyDescent="0.2">
      <c r="A15" s="2"/>
      <c r="B15" s="2" t="s">
        <v>92</v>
      </c>
      <c r="C15" s="2"/>
      <c r="D15" s="2">
        <f>D12-D13</f>
        <v>-1.554128888426825</v>
      </c>
      <c r="E15" s="2"/>
      <c r="F15" s="2"/>
      <c r="G15" s="2"/>
      <c r="H15" s="2"/>
      <c r="I15" s="2"/>
      <c r="J15" s="2"/>
      <c r="K15" s="2"/>
      <c r="L15" s="6">
        <f>L12-L13</f>
        <v>-1.554128888426825</v>
      </c>
      <c r="M15" s="7"/>
      <c r="N15" s="7"/>
      <c r="O15" s="10"/>
      <c r="P15" s="6">
        <f>P12-P13</f>
        <v>-1.554128888426825</v>
      </c>
      <c r="Q15" s="7"/>
      <c r="R15" s="7"/>
      <c r="S15" s="10"/>
      <c r="T15" s="6">
        <f>T12-T13</f>
        <v>-1.554128888426825</v>
      </c>
      <c r="U15" s="7"/>
      <c r="V15" s="7"/>
      <c r="W15" s="10"/>
      <c r="X15" s="6">
        <f>X12-X13</f>
        <v>-1.554128888426825</v>
      </c>
      <c r="Y15" s="7"/>
      <c r="Z15" s="7"/>
      <c r="AA15" s="10"/>
      <c r="AB15" s="6">
        <f>AB12-AB13</f>
        <v>-1.554128888426825</v>
      </c>
      <c r="AC15" s="7"/>
      <c r="AD15" s="7"/>
      <c r="AE15" s="10"/>
      <c r="AF15" s="6">
        <f>AF12-AF13</f>
        <v>-1.554128888426825</v>
      </c>
      <c r="AG15" s="7"/>
      <c r="AH15" s="7"/>
      <c r="AI15" s="10"/>
      <c r="AJ15" s="6">
        <f>AJ12-AJ13</f>
        <v>-1.554128888426825</v>
      </c>
      <c r="AK15" s="7"/>
      <c r="AL15" s="7"/>
      <c r="AM15" s="10"/>
      <c r="AN15" s="6">
        <f>AN12-AN13</f>
        <v>-1.554128888426825</v>
      </c>
      <c r="AO15" s="7"/>
      <c r="AP15" s="7"/>
      <c r="AQ15" s="10"/>
    </row>
    <row r="16" spans="1:43" x14ac:dyDescent="0.2">
      <c r="A16" s="2"/>
      <c r="B16" s="2" t="s">
        <v>57</v>
      </c>
      <c r="C16" s="2"/>
      <c r="D16" s="2">
        <f>'P-P Kabels'!$D$5+'P-P Kabels'!$D$10*COS(D13)</f>
        <v>570</v>
      </c>
      <c r="E16" s="2">
        <f>'P-P Kabels'!$D$10*SIN(D13)</f>
        <v>0</v>
      </c>
      <c r="F16" s="2"/>
      <c r="G16" s="2"/>
      <c r="H16" s="2"/>
      <c r="I16" s="2"/>
      <c r="J16" s="2"/>
      <c r="K16" s="2"/>
      <c r="L16" s="6">
        <f>'P-P Kabels'!$D$5+'P-P Kabels'!$D$10*COS(L13)</f>
        <v>570</v>
      </c>
      <c r="M16" s="7">
        <f>'P-P Kabels'!$D$10*SIN(L13)</f>
        <v>0</v>
      </c>
      <c r="N16" s="7"/>
      <c r="O16" s="10"/>
      <c r="P16" s="6">
        <f>'P-P Kabels'!$D$5+'P-P Kabels'!$D$10*COS(P13)</f>
        <v>570</v>
      </c>
      <c r="Q16" s="7">
        <f>'P-P Kabels'!$D$10*SIN(P13)</f>
        <v>0</v>
      </c>
      <c r="R16" s="7"/>
      <c r="S16" s="10"/>
      <c r="T16" s="6">
        <f>'P-P Kabels'!$D$5+'P-P Kabels'!$D$10*COS(T13)</f>
        <v>570</v>
      </c>
      <c r="U16" s="7">
        <f>'P-P Kabels'!$D$10*SIN(T13)</f>
        <v>0</v>
      </c>
      <c r="V16" s="7"/>
      <c r="W16" s="10"/>
      <c r="X16" s="6">
        <f>'P-P Kabels'!$D$5+'P-P Kabels'!$D$10*COS(X13)</f>
        <v>570</v>
      </c>
      <c r="Y16" s="7">
        <f>'P-P Kabels'!$D$10*SIN(X13)</f>
        <v>0</v>
      </c>
      <c r="Z16" s="7"/>
      <c r="AA16" s="10"/>
      <c r="AB16" s="6">
        <f>'P-P Kabels'!$D$5+'P-P Kabels'!$D$10*COS(AB13)</f>
        <v>570</v>
      </c>
      <c r="AC16" s="7">
        <f>'P-P Kabels'!$D$10*SIN(AB13)</f>
        <v>0</v>
      </c>
      <c r="AD16" s="7"/>
      <c r="AE16" s="10"/>
      <c r="AF16" s="6">
        <f>'P-P Kabels'!$D$5+'P-P Kabels'!$D$10*COS(AF13)</f>
        <v>570</v>
      </c>
      <c r="AG16" s="7">
        <f>'P-P Kabels'!$D$10*SIN(AF13)</f>
        <v>0</v>
      </c>
      <c r="AH16" s="7"/>
      <c r="AI16" s="10"/>
      <c r="AJ16" s="6">
        <f>'P-P Kabels'!$D$5+'P-P Kabels'!$D$10*COS(AJ13)</f>
        <v>570</v>
      </c>
      <c r="AK16" s="7">
        <f>'P-P Kabels'!$D$10*SIN(AJ13)</f>
        <v>0</v>
      </c>
      <c r="AL16" s="7"/>
      <c r="AM16" s="10"/>
      <c r="AN16" s="6">
        <f>'P-P Kabels'!$D$5+'P-P Kabels'!$D$10*COS(AN13)</f>
        <v>570</v>
      </c>
      <c r="AO16" s="7">
        <f>'P-P Kabels'!$D$10*SIN(AN13)</f>
        <v>0</v>
      </c>
      <c r="AP16" s="7"/>
      <c r="AQ16" s="10"/>
    </row>
    <row r="17" spans="1:43" x14ac:dyDescent="0.2">
      <c r="A17" s="2"/>
      <c r="B17" s="2" t="s">
        <v>63</v>
      </c>
      <c r="C17" s="2"/>
      <c r="D17" s="2">
        <f>SQRT((D4-D9)^2+(E4-E9)^2)</f>
        <v>500.59980690991318</v>
      </c>
      <c r="E17" s="2"/>
      <c r="F17" s="2"/>
      <c r="G17" s="2"/>
      <c r="H17" s="2"/>
      <c r="I17" s="2"/>
      <c r="J17" s="2"/>
      <c r="K17" s="2"/>
      <c r="L17" s="6">
        <f>SQRT((L4-L9)^2+(M4-M9)^2)</f>
        <v>500.59980690991318</v>
      </c>
      <c r="M17" s="7"/>
      <c r="N17" s="7"/>
      <c r="O17" s="10"/>
      <c r="P17" s="6">
        <f>SQRT((P4-P9)^2+(Q4-Q9)^2)</f>
        <v>500.59980690991318</v>
      </c>
      <c r="Q17" s="7"/>
      <c r="R17" s="7"/>
      <c r="S17" s="10"/>
      <c r="T17" s="6">
        <f>SQRT((T4-T9)^2+(U4-U9)^2)</f>
        <v>500.59980690991318</v>
      </c>
      <c r="U17" s="7"/>
      <c r="V17" s="7"/>
      <c r="W17" s="10"/>
      <c r="X17" s="6">
        <f>SQRT((X4-X9)^2+(Y4-Y9)^2)</f>
        <v>500.59980690991318</v>
      </c>
      <c r="Y17" s="7"/>
      <c r="Z17" s="7"/>
      <c r="AA17" s="10"/>
      <c r="AB17" s="6">
        <f>SQRT((AB4-AB9)^2+(AC4-AC9)^2)</f>
        <v>500.59980690991318</v>
      </c>
      <c r="AC17" s="7"/>
      <c r="AD17" s="7"/>
      <c r="AE17" s="10"/>
      <c r="AF17" s="6">
        <f>SQRT((AF4-AF9)^2+(AG4-AG9)^2)</f>
        <v>500.59980690991318</v>
      </c>
      <c r="AG17" s="7"/>
      <c r="AH17" s="7"/>
      <c r="AI17" s="10"/>
      <c r="AJ17" s="6">
        <f>SQRT((AJ4-AJ9)^2+(AK4-AK9)^2)</f>
        <v>500.59980690991318</v>
      </c>
      <c r="AK17" s="7"/>
      <c r="AL17" s="7"/>
      <c r="AM17" s="10"/>
      <c r="AN17" s="6">
        <f>SQRT((AN4-AN9)^2+(AO4-AO9)^2)</f>
        <v>500.59980690991318</v>
      </c>
      <c r="AO17" s="7"/>
      <c r="AP17" s="7"/>
      <c r="AQ17" s="10"/>
    </row>
    <row r="18" spans="1:43" x14ac:dyDescent="0.2">
      <c r="A18" s="2"/>
      <c r="B18" s="2"/>
      <c r="C18" s="2"/>
      <c r="D18" s="2"/>
      <c r="E18" s="2"/>
      <c r="F18" s="2"/>
      <c r="G18" s="2"/>
      <c r="H18" s="2"/>
      <c r="I18" s="2"/>
      <c r="J18" s="2"/>
      <c r="K18" s="2"/>
      <c r="L18" s="6"/>
      <c r="M18" s="7"/>
      <c r="N18" s="7"/>
      <c r="O18" s="10"/>
      <c r="P18" s="6"/>
      <c r="Q18" s="7"/>
      <c r="R18" s="7"/>
      <c r="S18" s="10"/>
      <c r="T18" s="6"/>
      <c r="U18" s="7"/>
      <c r="V18" s="7"/>
      <c r="W18" s="10"/>
      <c r="X18" s="6"/>
      <c r="Y18" s="7"/>
      <c r="Z18" s="7"/>
      <c r="AA18" s="10"/>
      <c r="AB18" s="6"/>
      <c r="AC18" s="7"/>
      <c r="AD18" s="7"/>
      <c r="AE18" s="10"/>
      <c r="AF18" s="6"/>
      <c r="AG18" s="7"/>
      <c r="AH18" s="7"/>
      <c r="AI18" s="10"/>
      <c r="AJ18" s="6"/>
      <c r="AK18" s="7"/>
      <c r="AL18" s="7"/>
      <c r="AM18" s="10"/>
      <c r="AN18" s="6"/>
      <c r="AO18" s="7"/>
      <c r="AP18" s="7"/>
      <c r="AQ18" s="10"/>
    </row>
    <row r="19" spans="1:43" x14ac:dyDescent="0.2">
      <c r="A19" s="2"/>
      <c r="B19" s="1" t="s">
        <v>68</v>
      </c>
      <c r="C19" s="2"/>
      <c r="D19" s="2"/>
      <c r="E19" s="2"/>
      <c r="F19" s="2"/>
      <c r="G19" s="1" t="s">
        <v>81</v>
      </c>
      <c r="H19" s="2"/>
      <c r="I19" s="2"/>
      <c r="J19" s="2"/>
      <c r="K19" s="2"/>
      <c r="L19" s="6"/>
      <c r="M19" s="7"/>
      <c r="N19" s="7"/>
      <c r="O19" s="10"/>
      <c r="P19" s="6"/>
      <c r="Q19" s="7"/>
      <c r="R19" s="7"/>
      <c r="S19" s="10"/>
      <c r="T19" s="6"/>
      <c r="U19" s="7"/>
      <c r="V19" s="7"/>
      <c r="W19" s="10"/>
      <c r="X19" s="6"/>
      <c r="Y19" s="7"/>
      <c r="Z19" s="7"/>
      <c r="AA19" s="10"/>
      <c r="AB19" s="6"/>
      <c r="AC19" s="7"/>
      <c r="AD19" s="7"/>
      <c r="AE19" s="10"/>
      <c r="AF19" s="6"/>
      <c r="AG19" s="7"/>
      <c r="AH19" s="7"/>
      <c r="AI19" s="10"/>
      <c r="AJ19" s="6"/>
      <c r="AK19" s="7"/>
      <c r="AL19" s="7"/>
      <c r="AM19" s="10"/>
      <c r="AN19" s="6"/>
      <c r="AO19" s="7"/>
      <c r="AP19" s="7"/>
      <c r="AQ19" s="10"/>
    </row>
    <row r="20" spans="1:43" x14ac:dyDescent="0.2">
      <c r="A20" s="2"/>
      <c r="B20" s="2" t="s">
        <v>69</v>
      </c>
      <c r="C20" s="2"/>
      <c r="D20" s="2">
        <f>$D$6+RADIANS('P-P Kabels'!$D$12)</f>
        <v>2.2689280275926285</v>
      </c>
      <c r="E20" s="2"/>
      <c r="F20" s="2"/>
      <c r="G20" s="2" t="s">
        <v>82</v>
      </c>
      <c r="H20" s="2"/>
      <c r="I20" s="2">
        <f>$D$6-RADIANS('P-P Kabels'!$D$12)</f>
        <v>0.87266462599716477</v>
      </c>
      <c r="J20" s="2"/>
      <c r="K20" s="2"/>
      <c r="L20" s="6">
        <f>$D$6+RADIANS(ABS($H$38))</f>
        <v>2.2689280275926285</v>
      </c>
      <c r="M20" s="7"/>
      <c r="N20" s="7">
        <f>$D$6-RADIANS(ABS($H$38))</f>
        <v>0.87266462599716477</v>
      </c>
      <c r="O20" s="10"/>
      <c r="P20" s="6">
        <f>$D$6+RADIANS(ABS($H$39))</f>
        <v>2.1816615649929121</v>
      </c>
      <c r="Q20" s="7"/>
      <c r="R20" s="7">
        <f>$D$6-RADIANS(ABS($H$39))</f>
        <v>0.95993108859688125</v>
      </c>
      <c r="S20" s="10"/>
      <c r="T20" s="6">
        <f>$D$6+RADIANS(ABS($H$40))</f>
        <v>2.0943951023931953</v>
      </c>
      <c r="U20" s="7"/>
      <c r="V20" s="7">
        <f>$D$6-RADIANS(ABS($H$40))</f>
        <v>1.0471975511965979</v>
      </c>
      <c r="W20" s="10"/>
      <c r="X20" s="6">
        <f>$D$6+RADIANS(ABS($H$41))</f>
        <v>2.0071286397934789</v>
      </c>
      <c r="Y20" s="7"/>
      <c r="Z20" s="7">
        <f>$D$6-RADIANS(ABS($H$41))</f>
        <v>1.1344640137963142</v>
      </c>
      <c r="AA20" s="10"/>
      <c r="AB20" s="6">
        <f>$D$6+RADIANS(ABS($H$42))</f>
        <v>1.9198621771937625</v>
      </c>
      <c r="AC20" s="7"/>
      <c r="AD20" s="7">
        <f>$D$6-RADIANS(ABS($H$42))</f>
        <v>1.2217304763960306</v>
      </c>
      <c r="AE20" s="10"/>
      <c r="AF20" s="6">
        <f>$D$6+RADIANS(ABS($H$43))</f>
        <v>1.8325957145940459</v>
      </c>
      <c r="AG20" s="7"/>
      <c r="AH20" s="7">
        <f>$D$6-RADIANS(ABS($H$43))</f>
        <v>1.3089969389957472</v>
      </c>
      <c r="AI20" s="10"/>
      <c r="AJ20" s="6">
        <f>$D$6+RADIANS(ABS($H$44))</f>
        <v>1.7453292519943295</v>
      </c>
      <c r="AK20" s="7"/>
      <c r="AL20" s="7">
        <f>$D$6-RADIANS(ABS($H$44))</f>
        <v>1.3962634015954636</v>
      </c>
      <c r="AM20" s="10"/>
      <c r="AN20" s="6">
        <f>$D$6+RADIANS(ABS($H$45))</f>
        <v>1.6580627893946129</v>
      </c>
      <c r="AO20" s="7"/>
      <c r="AP20" s="7">
        <f>$D$6-RADIANS(ABS($H$45))</f>
        <v>1.4835298641951802</v>
      </c>
      <c r="AQ20" s="10"/>
    </row>
    <row r="21" spans="1:43" x14ac:dyDescent="0.2">
      <c r="A21" s="2"/>
      <c r="B21" s="2" t="s">
        <v>70</v>
      </c>
      <c r="C21" s="2"/>
      <c r="D21" s="2">
        <f>$D$7+RADIANS('P-P Kabels'!$D$12)</f>
        <v>-0.87266462599716477</v>
      </c>
      <c r="E21" s="2"/>
      <c r="F21" s="2"/>
      <c r="G21" s="2" t="s">
        <v>83</v>
      </c>
      <c r="H21" s="2"/>
      <c r="I21" s="2">
        <f>$D$7-RADIANS('P-P Kabels'!$D$12)</f>
        <v>-2.2689280275926285</v>
      </c>
      <c r="J21" s="2"/>
      <c r="K21" s="2"/>
      <c r="L21" s="2">
        <f>$D$7+RADIANS(ABS($H$38))</f>
        <v>-0.87266462599716477</v>
      </c>
      <c r="M21" s="7"/>
      <c r="N21" s="2">
        <f>$D$7-RADIANS(ABS($H$38))</f>
        <v>-2.2689280275926285</v>
      </c>
      <c r="O21" s="10"/>
      <c r="P21" s="2">
        <f>$D$7+RADIANS(ABS($H$39))</f>
        <v>-0.95993108859688125</v>
      </c>
      <c r="Q21" s="7"/>
      <c r="R21" s="2">
        <f>$D$7-RADIANS(ABS($H$39))</f>
        <v>-2.1816615649929121</v>
      </c>
      <c r="S21" s="10"/>
      <c r="T21" s="2">
        <f>$D$7+RADIANS(ABS($H$40))</f>
        <v>-1.0471975511965979</v>
      </c>
      <c r="U21" s="7"/>
      <c r="V21" s="2">
        <f>$D$7-RADIANS(ABS($H$40))</f>
        <v>-2.0943951023931953</v>
      </c>
      <c r="W21" s="10"/>
      <c r="X21" s="2">
        <f>$D$7+RADIANS(ABS($H$41))</f>
        <v>-1.1344640137963142</v>
      </c>
      <c r="Y21" s="7"/>
      <c r="Z21" s="2">
        <f>$D$7-RADIANS(ABS($H$41))</f>
        <v>-2.0071286397934789</v>
      </c>
      <c r="AA21" s="10"/>
      <c r="AB21" s="2">
        <f>$D$7+RADIANS(ABS($H$42))</f>
        <v>-1.2217304763960306</v>
      </c>
      <c r="AC21" s="7"/>
      <c r="AD21" s="2">
        <f>$D$7-RADIANS(ABS($H$42))</f>
        <v>-1.9198621771937625</v>
      </c>
      <c r="AE21" s="10"/>
      <c r="AF21" s="2">
        <f>$D$7+RADIANS(ABS($H$43))</f>
        <v>-1.3089969389957472</v>
      </c>
      <c r="AG21" s="7"/>
      <c r="AH21" s="2">
        <f>$D$7-RADIANS(ABS($H$43))</f>
        <v>-1.8325957145940459</v>
      </c>
      <c r="AI21" s="10"/>
      <c r="AJ21" s="2">
        <f>$D$7+RADIANS(ABS($H$44))</f>
        <v>-1.3962634015954636</v>
      </c>
      <c r="AK21" s="7"/>
      <c r="AL21" s="2">
        <f>$D$7-RADIANS(ABS($H$44))</f>
        <v>-1.7453292519943295</v>
      </c>
      <c r="AM21" s="10"/>
      <c r="AN21" s="2">
        <f>$D$7+RADIANS(ABS($H$45))</f>
        <v>-1.4835298641951802</v>
      </c>
      <c r="AO21" s="7"/>
      <c r="AP21" s="2">
        <f>$D$7-RADIANS(ABS($H$45))</f>
        <v>-1.6580627893946129</v>
      </c>
      <c r="AQ21" s="10"/>
    </row>
    <row r="22" spans="1:43" x14ac:dyDescent="0.2">
      <c r="A22" s="2"/>
      <c r="B22" s="2" t="s">
        <v>71</v>
      </c>
      <c r="C22" s="2"/>
      <c r="D22" s="2">
        <f>'P-P Kabels'!$D$6*COS(D20)</f>
        <v>-12.855752193730787</v>
      </c>
      <c r="E22" s="2">
        <f>'P-P Kabels'!$D$6*SIN(D20)</f>
        <v>15.32088886237956</v>
      </c>
      <c r="F22" s="2"/>
      <c r="G22" s="2" t="s">
        <v>84</v>
      </c>
      <c r="H22" s="2"/>
      <c r="I22" s="2">
        <f>'P-P Kabels'!$D$6*COS(I20)</f>
        <v>12.855752193730787</v>
      </c>
      <c r="J22" s="2">
        <f>'P-P Kabels'!$D$6*SIN(I20)</f>
        <v>15.32088886237956</v>
      </c>
      <c r="K22" s="2"/>
      <c r="L22" s="6">
        <f>'P-P Kabels'!$D$6*COS(L20)</f>
        <v>-12.855752193730787</v>
      </c>
      <c r="M22" s="7">
        <f>'P-P Kabels'!$D$6*SIN(L20)</f>
        <v>15.32088886237956</v>
      </c>
      <c r="N22" s="7">
        <f>'P-P Kabels'!$D$6*COS(N20)</f>
        <v>12.855752193730787</v>
      </c>
      <c r="O22" s="10">
        <f>'P-P Kabels'!$D$6*SIN(N20)</f>
        <v>15.32088886237956</v>
      </c>
      <c r="P22" s="6">
        <f>'P-P Kabels'!$D$6*COS(P20)</f>
        <v>-11.471528727020923</v>
      </c>
      <c r="Q22" s="7">
        <f>'P-P Kabels'!$D$6*SIN(P20)</f>
        <v>16.383040885779835</v>
      </c>
      <c r="R22" s="7">
        <f>'P-P Kabels'!$D$6*COS(R20)</f>
        <v>11.471528727020923</v>
      </c>
      <c r="S22" s="10">
        <f>'P-P Kabels'!$D$6*SIN(R20)</f>
        <v>16.383040885779835</v>
      </c>
      <c r="T22" s="6">
        <f>'P-P Kabels'!$D$6*COS(T20)</f>
        <v>-9.9999999999999964</v>
      </c>
      <c r="U22" s="7">
        <f>'P-P Kabels'!$D$6*SIN(T20)</f>
        <v>17.320508075688775</v>
      </c>
      <c r="V22" s="7">
        <f>'P-P Kabels'!$D$6*COS(V20)</f>
        <v>9.9999999999999982</v>
      </c>
      <c r="W22" s="10">
        <f>'P-P Kabels'!$D$6*SIN(V20)</f>
        <v>17.320508075688775</v>
      </c>
      <c r="X22" s="6">
        <f>'P-P Kabels'!$D$6*COS(X20)</f>
        <v>-8.4523652348139873</v>
      </c>
      <c r="Y22" s="7">
        <f>'P-P Kabels'!$D$6*SIN(X20)</f>
        <v>18.126155740733001</v>
      </c>
      <c r="Z22" s="7">
        <f>'P-P Kabels'!$D$6*COS(Z20)</f>
        <v>8.452365234813989</v>
      </c>
      <c r="AA22" s="10">
        <f>'P-P Kabels'!$D$6*SIN(Z20)</f>
        <v>18.126155740732997</v>
      </c>
      <c r="AB22" s="6">
        <f>'P-P Kabels'!$D$6*COS(AB20)</f>
        <v>-6.840402866513374</v>
      </c>
      <c r="AC22" s="7">
        <f>'P-P Kabels'!$D$6*SIN(AB20)</f>
        <v>18.79385241571817</v>
      </c>
      <c r="AD22" s="7">
        <f>'P-P Kabels'!$D$6*COS(AD20)</f>
        <v>6.8404028665133767</v>
      </c>
      <c r="AE22" s="10">
        <f>'P-P Kabels'!$D$6*SIN(AD20)</f>
        <v>18.793852415718167</v>
      </c>
      <c r="AF22" s="6">
        <f>'P-P Kabels'!$D$6*COS(AF20)</f>
        <v>-5.176380902050413</v>
      </c>
      <c r="AG22" s="7">
        <f>'P-P Kabels'!$D$6*SIN(AF20)</f>
        <v>19.318516525781366</v>
      </c>
      <c r="AH22" s="7">
        <f>'P-P Kabels'!$D$6*COS(AH20)</f>
        <v>5.1763809020504148</v>
      </c>
      <c r="AI22" s="10">
        <f>'P-P Kabels'!$D$6*SIN(AH20)</f>
        <v>19.318516525781366</v>
      </c>
      <c r="AJ22" s="6">
        <f>'P-P Kabels'!$D$6*COS(AJ20)</f>
        <v>-3.4729635533386061</v>
      </c>
      <c r="AK22" s="7">
        <f>'P-P Kabels'!$D$6*SIN(AJ20)</f>
        <v>19.696155060244159</v>
      </c>
      <c r="AL22" s="7">
        <f>'P-P Kabels'!$D$6*COS(AL20)</f>
        <v>3.4729635533386083</v>
      </c>
      <c r="AM22" s="10">
        <f>'P-P Kabels'!$D$6*SIN(AL20)</f>
        <v>19.696155060244159</v>
      </c>
      <c r="AN22" s="6">
        <f>'P-P Kabels'!$D$6*COS(AN20)</f>
        <v>-1.7431148549531603</v>
      </c>
      <c r="AO22" s="7">
        <f>'P-P Kabels'!$D$6*SIN(AN20)</f>
        <v>19.92389396183491</v>
      </c>
      <c r="AP22" s="7">
        <f>'P-P Kabels'!$D$6*COS(AP20)</f>
        <v>1.7431148549531628</v>
      </c>
      <c r="AQ22" s="10">
        <f>'P-P Kabels'!$D$6*SIN(AP20)</f>
        <v>19.92389396183491</v>
      </c>
    </row>
    <row r="23" spans="1:43" x14ac:dyDescent="0.2">
      <c r="A23" s="2"/>
      <c r="B23" s="2" t="s">
        <v>72</v>
      </c>
      <c r="C23" s="2"/>
      <c r="D23" s="2">
        <f>'P-P Kabels'!$D$6*COS(D21)</f>
        <v>12.855752193730787</v>
      </c>
      <c r="E23" s="2">
        <f>'P-P Kabels'!$D$6*SIN(D21)</f>
        <v>-15.32088886237956</v>
      </c>
      <c r="F23" s="2"/>
      <c r="G23" s="2" t="s">
        <v>85</v>
      </c>
      <c r="H23" s="2"/>
      <c r="I23" s="2">
        <f>'P-P Kabels'!$D$6*COS(I21)</f>
        <v>-12.855752193730787</v>
      </c>
      <c r="J23" s="2">
        <f>'P-P Kabels'!$D$6*SIN(I21)</f>
        <v>-15.32088886237956</v>
      </c>
      <c r="K23" s="2"/>
      <c r="L23" s="6">
        <f>'P-P Kabels'!$D$6*COS(L21)</f>
        <v>12.855752193730787</v>
      </c>
      <c r="M23" s="7">
        <f>'P-P Kabels'!$D$6*SIN(L21)</f>
        <v>-15.32088886237956</v>
      </c>
      <c r="N23" s="7">
        <f>'P-P Kabels'!$D$6*COS(N21)</f>
        <v>-12.855752193730787</v>
      </c>
      <c r="O23" s="10">
        <f>'P-P Kabels'!$D$6*SIN(N21)</f>
        <v>-15.32088886237956</v>
      </c>
      <c r="P23" s="6">
        <f>'P-P Kabels'!$D$6*COS(P21)</f>
        <v>11.471528727020923</v>
      </c>
      <c r="Q23" s="7">
        <f>'P-P Kabels'!$D$6*SIN(P21)</f>
        <v>-16.383040885779835</v>
      </c>
      <c r="R23" s="7">
        <f>'P-P Kabels'!$D$6*COS(R21)</f>
        <v>-11.471528727020923</v>
      </c>
      <c r="S23" s="10">
        <f>'P-P Kabels'!$D$6*SIN(R21)</f>
        <v>-16.383040885779835</v>
      </c>
      <c r="T23" s="6">
        <f>'P-P Kabels'!$D$6*COS(T21)</f>
        <v>9.9999999999999982</v>
      </c>
      <c r="U23" s="7">
        <f>'P-P Kabels'!$D$6*SIN(T21)</f>
        <v>-17.320508075688775</v>
      </c>
      <c r="V23" s="7">
        <f>'P-P Kabels'!$D$6*COS(V21)</f>
        <v>-9.9999999999999964</v>
      </c>
      <c r="W23" s="10">
        <f>'P-P Kabels'!$D$6*SIN(V21)</f>
        <v>-17.320508075688775</v>
      </c>
      <c r="X23" s="6">
        <f>'P-P Kabels'!$D$6*COS(X21)</f>
        <v>8.452365234813989</v>
      </c>
      <c r="Y23" s="7">
        <f>'P-P Kabels'!$D$6*SIN(X21)</f>
        <v>-18.126155740732997</v>
      </c>
      <c r="Z23" s="7">
        <f>'P-P Kabels'!$D$6*COS(Z21)</f>
        <v>-8.4523652348139873</v>
      </c>
      <c r="AA23" s="10">
        <f>'P-P Kabels'!$D$6*SIN(Z21)</f>
        <v>-18.126155740733001</v>
      </c>
      <c r="AB23" s="6">
        <f>'P-P Kabels'!$D$6*COS(AB21)</f>
        <v>6.8404028665133767</v>
      </c>
      <c r="AC23" s="7">
        <f>'P-P Kabels'!$D$6*SIN(AB21)</f>
        <v>-18.793852415718167</v>
      </c>
      <c r="AD23" s="7">
        <f>'P-P Kabels'!$D$6*COS(AD21)</f>
        <v>-6.840402866513374</v>
      </c>
      <c r="AE23" s="10">
        <f>'P-P Kabels'!$D$6*SIN(AD21)</f>
        <v>-18.79385241571817</v>
      </c>
      <c r="AF23" s="6">
        <f>'P-P Kabels'!$D$6*COS(AF21)</f>
        <v>5.1763809020504148</v>
      </c>
      <c r="AG23" s="7">
        <f>'P-P Kabels'!$D$6*SIN(AF21)</f>
        <v>-19.318516525781366</v>
      </c>
      <c r="AH23" s="7">
        <f>'P-P Kabels'!$D$6*COS(AH21)</f>
        <v>-5.176380902050413</v>
      </c>
      <c r="AI23" s="10">
        <f>'P-P Kabels'!$D$6*SIN(AH21)</f>
        <v>-19.318516525781366</v>
      </c>
      <c r="AJ23" s="6">
        <f>'P-P Kabels'!$D$6*COS(AJ21)</f>
        <v>3.4729635533386083</v>
      </c>
      <c r="AK23" s="7">
        <f>'P-P Kabels'!$D$6*SIN(AJ21)</f>
        <v>-19.696155060244159</v>
      </c>
      <c r="AL23" s="7">
        <f>'P-P Kabels'!$D$6*COS(AL21)</f>
        <v>-3.4729635533386061</v>
      </c>
      <c r="AM23" s="10">
        <f>'P-P Kabels'!$D$6*SIN(AL21)</f>
        <v>-19.696155060244159</v>
      </c>
      <c r="AN23" s="6">
        <f>'P-P Kabels'!$D$6*COS(AN21)</f>
        <v>1.7431148549531628</v>
      </c>
      <c r="AO23" s="7">
        <f>'P-P Kabels'!$D$6*SIN(AN21)</f>
        <v>-19.92389396183491</v>
      </c>
      <c r="AP23" s="7">
        <f>'P-P Kabels'!$D$6*COS(AP21)</f>
        <v>-1.7431148549531603</v>
      </c>
      <c r="AQ23" s="10">
        <f>'P-P Kabels'!$D$6*SIN(AP21)</f>
        <v>-19.92389396183491</v>
      </c>
    </row>
    <row r="24" spans="1:43" x14ac:dyDescent="0.2">
      <c r="A24" s="2"/>
      <c r="B24" s="2" t="s">
        <v>95</v>
      </c>
      <c r="C24" s="2"/>
      <c r="D24" s="2">
        <f>SQRT((D8-D22)^2+(E8-E22)^2)</f>
        <v>513.08454682803574</v>
      </c>
      <c r="E24" s="2"/>
      <c r="F24" s="2"/>
      <c r="G24" s="2" t="s">
        <v>96</v>
      </c>
      <c r="H24" s="2"/>
      <c r="I24" s="2">
        <f>SQRT((D8-I23)^2+(E8-J23)^2)</f>
        <v>513.08454682803574</v>
      </c>
      <c r="J24" s="2"/>
      <c r="K24" s="2"/>
      <c r="L24" s="6">
        <f>SQRT((L8-L22)^2+(M8-M22)^2)</f>
        <v>513.08454682803574</v>
      </c>
      <c r="M24" s="7"/>
      <c r="N24" s="7">
        <f>SQRT((L8-N23)^2+(M8-O23)^2)</f>
        <v>513.08454682803574</v>
      </c>
      <c r="O24" s="10"/>
      <c r="P24" s="6">
        <f>SQRT((P8-P22)^2+(Q8-Q22)^2)</f>
        <v>511.73384559458339</v>
      </c>
      <c r="Q24" s="7"/>
      <c r="R24" s="7">
        <f>SQRT((P8-R23)^2+(Q8-S23)^2)</f>
        <v>511.73384559458339</v>
      </c>
      <c r="S24" s="10"/>
      <c r="T24" s="6">
        <f>SQRT((T8-T22)^2+(U8-U22)^2)</f>
        <v>510.29403288692293</v>
      </c>
      <c r="U24" s="7"/>
      <c r="V24" s="7">
        <f>SQRT((T8-V23)^2+(U8-W23)^2)</f>
        <v>510.29403288692293</v>
      </c>
      <c r="W24" s="10"/>
      <c r="X24" s="6">
        <f>SQRT((X8-X22)^2+(Y8-Y22)^2)</f>
        <v>508.77535832114944</v>
      </c>
      <c r="Y24" s="7"/>
      <c r="Z24" s="7">
        <f>SQRT((X8-Z23)^2+(Y8-AA23)^2)</f>
        <v>508.77535832114944</v>
      </c>
      <c r="AA24" s="10"/>
      <c r="AB24" s="6">
        <f>SQRT((AB8-AB22)^2+(AC8-AC22)^2)</f>
        <v>507.1887250979791</v>
      </c>
      <c r="AC24" s="7"/>
      <c r="AD24" s="7">
        <f>SQRT((AB8-AD23)^2+(AC8-AE23)^2)</f>
        <v>507.1887250979791</v>
      </c>
      <c r="AE24" s="10"/>
      <c r="AF24" s="6">
        <f>SQRT((AF8-AF22)^2+(AG8-AG22)^2)</f>
        <v>505.54562692406944</v>
      </c>
      <c r="AG24" s="7"/>
      <c r="AH24" s="7">
        <f>SQRT((AF8-AH23)^2+(AG8-AI23)^2)</f>
        <v>505.54562692406944</v>
      </c>
      <c r="AI24" s="10"/>
      <c r="AJ24" s="6">
        <f>SQRT((AJ8-AJ22)^2+(AK8-AK22)^2)</f>
        <v>503.85807878145471</v>
      </c>
      <c r="AK24" s="7"/>
      <c r="AL24" s="7">
        <f>SQRT((AJ8-AL23)^2+(AK8-AM23)^2)</f>
        <v>503.85807878145471</v>
      </c>
      <c r="AM24" s="10"/>
      <c r="AN24" s="6">
        <f>SQRT((AN8-AN22)^2+(AO8-AO22)^2)</f>
        <v>502.13854149522632</v>
      </c>
      <c r="AO24" s="7"/>
      <c r="AP24" s="7">
        <f>SQRT((AN8-AP23)^2+(AO8-AQ23)^2)</f>
        <v>502.13854149522632</v>
      </c>
      <c r="AQ24" s="10"/>
    </row>
    <row r="25" spans="1:43" x14ac:dyDescent="0.2">
      <c r="A25" s="2"/>
      <c r="B25" s="2" t="s">
        <v>9</v>
      </c>
      <c r="C25" s="2"/>
      <c r="D25" s="2">
        <f>ASIN(('P-P Kabels'!$D$6*SIN(D20))/D24)</f>
        <v>2.9864798423647067E-2</v>
      </c>
      <c r="E25" s="2"/>
      <c r="F25" s="2"/>
      <c r="G25" s="2" t="s">
        <v>10</v>
      </c>
      <c r="H25" s="2"/>
      <c r="I25" s="2">
        <f>ASIN(('P-P Kabels'!$D$6*SIN(-I21))/I24)</f>
        <v>2.9864798423647067E-2</v>
      </c>
      <c r="J25" s="2"/>
      <c r="K25" s="2"/>
      <c r="L25" s="6">
        <f>ASIN(('P-P Kabels'!$D$6*SIN(L20))/L24)</f>
        <v>2.9864798423647067E-2</v>
      </c>
      <c r="M25" s="7"/>
      <c r="N25" s="7">
        <f>ASIN(('P-P Kabels'!$D$6*SIN(-N21))/N24)</f>
        <v>2.9864798423647067E-2</v>
      </c>
      <c r="O25" s="10"/>
      <c r="P25" s="6">
        <f>ASIN(('P-P Kabels'!$D$6*SIN(P20))/P24)</f>
        <v>3.2020240480334916E-2</v>
      </c>
      <c r="Q25" s="7"/>
      <c r="R25" s="7">
        <f>ASIN(('P-P Kabels'!$D$6*SIN(-R21))/R24)</f>
        <v>3.2020240480334916E-2</v>
      </c>
      <c r="S25" s="10"/>
      <c r="T25" s="6">
        <f>ASIN(('P-P Kabels'!$D$6*SIN(T20))/T24)</f>
        <v>3.3948732367969525E-2</v>
      </c>
      <c r="U25" s="7"/>
      <c r="V25" s="7">
        <f>ASIN(('P-P Kabels'!$D$6*SIN(-V21))/V24)</f>
        <v>3.3948732367969525E-2</v>
      </c>
      <c r="W25" s="10"/>
      <c r="X25" s="6">
        <f>ASIN(('P-P Kabels'!$D$6*SIN(X20))/X24)</f>
        <v>3.5634572665808661E-2</v>
      </c>
      <c r="Y25" s="7"/>
      <c r="Z25" s="7">
        <f>ASIN(('P-P Kabels'!$D$6*SIN(-Z21))/Z24)</f>
        <v>3.5634572665808661E-2</v>
      </c>
      <c r="AA25" s="10"/>
      <c r="AB25" s="6">
        <f>ASIN(('P-P Kabels'!$D$6*SIN(AB20))/AB24)</f>
        <v>3.7063434224642269E-2</v>
      </c>
      <c r="AC25" s="7"/>
      <c r="AD25" s="7">
        <f>ASIN(('P-P Kabels'!$D$6*SIN(-AD21))/AD24)</f>
        <v>3.7063434224642269E-2</v>
      </c>
      <c r="AE25" s="10"/>
      <c r="AF25" s="6">
        <f>ASIN(('P-P Kabels'!$D$6*SIN(AF20))/AF24)</f>
        <v>3.8222506987849424E-2</v>
      </c>
      <c r="AG25" s="7"/>
      <c r="AH25" s="7">
        <f>ASIN(('P-P Kabels'!$D$6*SIN(-AH21))/AH24)</f>
        <v>3.8222506987849424E-2</v>
      </c>
      <c r="AI25" s="10"/>
      <c r="AJ25" s="6">
        <f>ASIN(('P-P Kabels'!$D$6*SIN(AJ20))/AJ24)</f>
        <v>3.9100642747167999E-2</v>
      </c>
      <c r="AK25" s="7"/>
      <c r="AL25" s="7">
        <f>ASIN(('P-P Kabels'!$D$6*SIN(-AL21))/AL24)</f>
        <v>3.9100642747167999E-2</v>
      </c>
      <c r="AM25" s="10"/>
      <c r="AN25" s="6">
        <f>ASIN(('P-P Kabels'!$D$6*SIN(AN20))/AN24)</f>
        <v>3.9688500058024163E-2</v>
      </c>
      <c r="AO25" s="7"/>
      <c r="AP25" s="7">
        <f>ASIN(('P-P Kabels'!$D$6*SIN(-AP21))/AP24)</f>
        <v>3.9688500058024163E-2</v>
      </c>
      <c r="AQ25" s="10"/>
    </row>
    <row r="26" spans="1:43" x14ac:dyDescent="0.2">
      <c r="A26" s="2"/>
      <c r="B26" s="2" t="s">
        <v>11</v>
      </c>
      <c r="C26" s="2"/>
      <c r="D26" s="2">
        <f>ACOS(('P-P Kabels'!$D$8^2+D24^2-D17^2)/(2*'P-P Kabels'!$D$8*D24))</f>
        <v>1.1148303385098224</v>
      </c>
      <c r="E26" s="2"/>
      <c r="F26" s="2"/>
      <c r="G26" s="2" t="s">
        <v>16</v>
      </c>
      <c r="H26" s="2"/>
      <c r="I26" s="2">
        <f>ACOS(('P-P Kabels'!$D$8^2+I24^2-D17^2)/(2*'P-P Kabels'!$D$8*I24))</f>
        <v>1.1148303385098224</v>
      </c>
      <c r="J26" s="2"/>
      <c r="K26" s="2"/>
      <c r="L26" s="6">
        <f>ACOS(('P-P Kabels'!$D$8^2+L24^2-L17^2)/(2*'P-P Kabels'!$D$8*L24))</f>
        <v>1.1148303385098224</v>
      </c>
      <c r="M26" s="7"/>
      <c r="N26" s="7">
        <f>ACOS(('P-P Kabels'!$D$8^2+N24^2-L17^2)/(2*'P-P Kabels'!$D$8*N24))</f>
        <v>1.1148303385098224</v>
      </c>
      <c r="O26" s="10"/>
      <c r="P26" s="6">
        <f>ACOS(('P-P Kabels'!$D$8^2+P24^2-P17^2)/(2*'P-P Kabels'!$D$8*P24))</f>
        <v>1.1631939673919136</v>
      </c>
      <c r="Q26" s="7"/>
      <c r="R26" s="7">
        <f>ACOS(('P-P Kabels'!$D$8^2+R24^2-P17^2)/(2*'P-P Kabels'!$D$8*R24))</f>
        <v>1.1631939673919136</v>
      </c>
      <c r="S26" s="10"/>
      <c r="T26" s="6">
        <f>ACOS(('P-P Kabels'!$D$8^2+T24^2-T17^2)/(2*'P-P Kabels'!$D$8*T24))</f>
        <v>1.2137949240875563</v>
      </c>
      <c r="U26" s="7"/>
      <c r="V26" s="7">
        <f>ACOS(('P-P Kabels'!$D$8^2+V24^2-T17^2)/(2*'P-P Kabels'!$D$8*V24))</f>
        <v>1.2137949240875563</v>
      </c>
      <c r="W26" s="10"/>
      <c r="X26" s="6">
        <f>ACOS(('P-P Kabels'!$D$8^2+X24^2-X17^2)/(2*'P-P Kabels'!$D$8*X24))</f>
        <v>1.2663013934575811</v>
      </c>
      <c r="Y26" s="7"/>
      <c r="Z26" s="7">
        <f>ACOS(('P-P Kabels'!$D$8^2+Z24^2-X17^2)/(2*'P-P Kabels'!$D$8*Z24))</f>
        <v>1.2663013934575811</v>
      </c>
      <c r="AA26" s="10"/>
      <c r="AB26" s="6">
        <f>ACOS(('P-P Kabels'!$D$8^2+AB24^2-AB17^2)/(2*'P-P Kabels'!$D$8*AB24))</f>
        <v>1.3204094616065416</v>
      </c>
      <c r="AC26" s="7"/>
      <c r="AD26" s="7">
        <f>ACOS(('P-P Kabels'!$D$8^2+AD24^2-AB17^2)/(2*'P-P Kabels'!$D$8*AD24))</f>
        <v>1.3204094616065416</v>
      </c>
      <c r="AE26" s="10"/>
      <c r="AF26" s="6">
        <f>ACOS(('P-P Kabels'!$D$8^2+AF24^2-AF17^2)/(2*'P-P Kabels'!$D$8*AF24))</f>
        <v>1.3758385084090001</v>
      </c>
      <c r="AG26" s="7"/>
      <c r="AH26" s="7">
        <f>ACOS(('P-P Kabels'!$D$8^2+AH24^2-AF17^2)/(2*'P-P Kabels'!$D$8*AH24))</f>
        <v>1.3758385084090001</v>
      </c>
      <c r="AI26" s="10"/>
      <c r="AJ26" s="6">
        <f>ACOS(('P-P Kabels'!$D$8^2+AJ24^2-AJ17^2)/(2*'P-P Kabels'!$D$8*AJ24))</f>
        <v>1.4323260637402595</v>
      </c>
      <c r="AK26" s="7"/>
      <c r="AL26" s="7">
        <f>ACOS(('P-P Kabels'!$D$8^2+AL24^2-AJ17^2)/(2*'P-P Kabels'!$D$8*AL24))</f>
        <v>1.4323260637402595</v>
      </c>
      <c r="AM26" s="10"/>
      <c r="AN26" s="6">
        <f>ACOS(('P-P Kabels'!$D$8^2+AN24^2-AN17^2)/(2*'P-P Kabels'!$D$8*AN24))</f>
        <v>1.4896224114311465</v>
      </c>
      <c r="AO26" s="7"/>
      <c r="AP26" s="7">
        <f>ACOS(('P-P Kabels'!$D$8^2+AP24^2-AN17^2)/(2*'P-P Kabels'!$D$8*AP24))</f>
        <v>1.4896224114311465</v>
      </c>
      <c r="AQ26" s="10"/>
    </row>
    <row r="27" spans="1:43" x14ac:dyDescent="0.2">
      <c r="A27" s="2"/>
      <c r="B27" s="2" t="s">
        <v>73</v>
      </c>
      <c r="C27" s="2"/>
      <c r="D27" s="2">
        <f>PI()-D26-D25</f>
        <v>1.9968975166563236</v>
      </c>
      <c r="E27" s="2"/>
      <c r="F27" s="2"/>
      <c r="G27" s="2" t="s">
        <v>86</v>
      </c>
      <c r="H27" s="2"/>
      <c r="I27" s="2">
        <f>I28+2*D11</f>
        <v>1.1113602601973263</v>
      </c>
      <c r="J27" s="2"/>
      <c r="K27" s="2"/>
      <c r="L27" s="6">
        <f>PI()-L26-L25</f>
        <v>1.9968975166563236</v>
      </c>
      <c r="M27" s="7"/>
      <c r="N27" s="7">
        <f>N28+2*L11</f>
        <v>1.1113602601973263</v>
      </c>
      <c r="O27" s="10"/>
      <c r="P27" s="6">
        <f>PI()-P26-P25</f>
        <v>1.9463784457175446</v>
      </c>
      <c r="Q27" s="7"/>
      <c r="R27" s="7">
        <f>R28+2*P11</f>
        <v>1.1618793311361053</v>
      </c>
      <c r="S27" s="10"/>
      <c r="T27" s="6">
        <f>PI()-T26-T25</f>
        <v>1.8938489971342674</v>
      </c>
      <c r="U27" s="7"/>
      <c r="V27" s="7">
        <f>V28+2*T11</f>
        <v>1.2144087797193825</v>
      </c>
      <c r="W27" s="10"/>
      <c r="X27" s="6">
        <f>PI()-X26-X25</f>
        <v>1.8396566874664033</v>
      </c>
      <c r="Y27" s="7"/>
      <c r="Z27" s="7">
        <f>Z28+2*X11</f>
        <v>1.2686010893872464</v>
      </c>
      <c r="AA27" s="10"/>
      <c r="AB27" s="6">
        <f>PI()-AB26-AB25</f>
        <v>1.7841197577586092</v>
      </c>
      <c r="AC27" s="7"/>
      <c r="AD27" s="7">
        <f>AD28+2*AB11</f>
        <v>1.3241380190950407</v>
      </c>
      <c r="AE27" s="10"/>
      <c r="AF27" s="6">
        <f>PI()-AF26-AF25</f>
        <v>1.7275316381929435</v>
      </c>
      <c r="AG27" s="7"/>
      <c r="AH27" s="7">
        <f>AH28+2*AF11</f>
        <v>1.3807261386607061</v>
      </c>
      <c r="AI27" s="10"/>
      <c r="AJ27" s="6">
        <f>PI()-AJ26-AJ25</f>
        <v>1.6701659471023655</v>
      </c>
      <c r="AK27" s="7"/>
      <c r="AL27" s="7">
        <f>AL28+2*AJ11</f>
        <v>1.4380918297512841</v>
      </c>
      <c r="AM27" s="10"/>
      <c r="AN27" s="6">
        <f>PI()-AN26-AN25</f>
        <v>1.6122817421006224</v>
      </c>
      <c r="AO27" s="7"/>
      <c r="AP27" s="7">
        <f>AP28+2*AN11</f>
        <v>1.4959760347530275</v>
      </c>
      <c r="AQ27" s="10"/>
    </row>
    <row r="28" spans="1:43" x14ac:dyDescent="0.2">
      <c r="A28" s="2"/>
      <c r="B28" s="2" t="s">
        <v>74</v>
      </c>
      <c r="C28" s="2"/>
      <c r="D28" s="2">
        <f>D27-2*D11</f>
        <v>-1.1113602601973263</v>
      </c>
      <c r="E28" s="2"/>
      <c r="F28" s="2"/>
      <c r="G28" s="2" t="s">
        <v>87</v>
      </c>
      <c r="H28" s="2"/>
      <c r="I28" s="2">
        <f>-PI()+I25+I26</f>
        <v>-1.9968975166563236</v>
      </c>
      <c r="J28" s="2"/>
      <c r="K28" s="2"/>
      <c r="L28" s="6">
        <f>L27-2*L11</f>
        <v>-1.1113602601973263</v>
      </c>
      <c r="M28" s="7"/>
      <c r="N28" s="7">
        <f>-PI()+N25+N26</f>
        <v>-1.9968975166563236</v>
      </c>
      <c r="O28" s="10"/>
      <c r="P28" s="6">
        <f>P27-2*P11</f>
        <v>-1.1618793311361053</v>
      </c>
      <c r="Q28" s="7"/>
      <c r="R28" s="7">
        <f>-PI()+R25+R26</f>
        <v>-1.9463784457175446</v>
      </c>
      <c r="S28" s="10"/>
      <c r="T28" s="6">
        <f>T27-2*T11</f>
        <v>-1.2144087797193825</v>
      </c>
      <c r="U28" s="7"/>
      <c r="V28" s="7">
        <f>-PI()+V25+V26</f>
        <v>-1.8938489971342674</v>
      </c>
      <c r="W28" s="10"/>
      <c r="X28" s="6">
        <f>X27-2*X11</f>
        <v>-1.2686010893872466</v>
      </c>
      <c r="Y28" s="7"/>
      <c r="Z28" s="7">
        <f>-PI()+Z25+Z26</f>
        <v>-1.8396566874664035</v>
      </c>
      <c r="AA28" s="10"/>
      <c r="AB28" s="6">
        <f>AB27-2*AB11</f>
        <v>-1.3241380190950407</v>
      </c>
      <c r="AC28" s="7"/>
      <c r="AD28" s="7">
        <f>-PI()+AD25+AD26</f>
        <v>-1.7841197577586092</v>
      </c>
      <c r="AE28" s="10"/>
      <c r="AF28" s="6">
        <f>AF27-2*AF11</f>
        <v>-1.3807261386607064</v>
      </c>
      <c r="AG28" s="7"/>
      <c r="AH28" s="7">
        <f>-PI()+AH25+AH26</f>
        <v>-1.7275316381929438</v>
      </c>
      <c r="AI28" s="10"/>
      <c r="AJ28" s="6">
        <f>AJ27-2*AJ11</f>
        <v>-1.4380918297512844</v>
      </c>
      <c r="AK28" s="7"/>
      <c r="AL28" s="7">
        <f>-PI()+AL25+AL26</f>
        <v>-1.6701659471023658</v>
      </c>
      <c r="AM28" s="10"/>
      <c r="AN28" s="6">
        <f>AN27-2*AN11</f>
        <v>-1.4959760347530275</v>
      </c>
      <c r="AO28" s="7"/>
      <c r="AP28" s="7">
        <f>-PI()+AP25+AP26</f>
        <v>-1.6122817421006224</v>
      </c>
      <c r="AQ28" s="10"/>
    </row>
    <row r="29" spans="1:43" x14ac:dyDescent="0.2">
      <c r="A29" s="2"/>
      <c r="B29" s="2" t="s">
        <v>75</v>
      </c>
      <c r="C29" s="2"/>
      <c r="D29" s="2">
        <f>D27-D14</f>
        <v>0.4427686282294987</v>
      </c>
      <c r="E29" s="2"/>
      <c r="F29" s="2"/>
      <c r="G29" s="2" t="s">
        <v>88</v>
      </c>
      <c r="H29" s="2"/>
      <c r="I29" s="2">
        <f>I28-D15</f>
        <v>-0.4427686282294987</v>
      </c>
      <c r="J29" s="2"/>
      <c r="K29" s="2"/>
      <c r="L29" s="6">
        <f>L27-L14</f>
        <v>0.4427686282294987</v>
      </c>
      <c r="M29" s="7"/>
      <c r="N29" s="7">
        <f>N28-L15</f>
        <v>-0.4427686282294987</v>
      </c>
      <c r="O29" s="10"/>
      <c r="P29" s="6">
        <f>P27-P14</f>
        <v>0.39224955729071964</v>
      </c>
      <c r="Q29" s="7"/>
      <c r="R29" s="7">
        <f>R28-P15</f>
        <v>-0.39224955729071964</v>
      </c>
      <c r="S29" s="10"/>
      <c r="T29" s="6">
        <f>T27-T14</f>
        <v>0.3397201087074424</v>
      </c>
      <c r="U29" s="7"/>
      <c r="V29" s="7">
        <f>V28-T15</f>
        <v>-0.3397201087074424</v>
      </c>
      <c r="W29" s="10"/>
      <c r="X29" s="6">
        <f>X27-X14</f>
        <v>0.28552779903957837</v>
      </c>
      <c r="Y29" s="7"/>
      <c r="Z29" s="7">
        <f>Z28-X15</f>
        <v>-0.28552779903957859</v>
      </c>
      <c r="AA29" s="10"/>
      <c r="AB29" s="6">
        <f>AB27-AB14</f>
        <v>0.22999086933178425</v>
      </c>
      <c r="AC29" s="7"/>
      <c r="AD29" s="7">
        <f>AD28-AB15</f>
        <v>-0.22999086933178425</v>
      </c>
      <c r="AE29" s="10"/>
      <c r="AF29" s="6">
        <f>AF27-AF14</f>
        <v>0.17340274976611858</v>
      </c>
      <c r="AG29" s="7"/>
      <c r="AH29" s="7">
        <f>AH28-AF15</f>
        <v>-0.1734027497661188</v>
      </c>
      <c r="AI29" s="10"/>
      <c r="AJ29" s="6">
        <f>AJ27-AJ14</f>
        <v>0.11603705867554059</v>
      </c>
      <c r="AK29" s="7"/>
      <c r="AL29" s="7">
        <f>AL28-AJ15</f>
        <v>-0.11603705867554082</v>
      </c>
      <c r="AM29" s="10"/>
      <c r="AN29" s="6">
        <f>AN27-AN14</f>
        <v>5.8152853673797411E-2</v>
      </c>
      <c r="AO29" s="7"/>
      <c r="AP29" s="7">
        <f>AP28-AN15</f>
        <v>-5.8152853673797411E-2</v>
      </c>
      <c r="AQ29" s="10"/>
    </row>
    <row r="30" spans="1:43" x14ac:dyDescent="0.2">
      <c r="A30" s="2"/>
      <c r="B30" s="2" t="s">
        <v>77</v>
      </c>
      <c r="C30" s="2"/>
      <c r="D30" s="2">
        <f>D8+'P-P Kabels'!$D$8*COS(D27)</f>
        <v>487.60028725511717</v>
      </c>
      <c r="E30" s="2">
        <f>'P-P Kabels'!$D$8*SIN(D27)</f>
        <v>27.317524116295573</v>
      </c>
      <c r="F30" s="2"/>
      <c r="G30" s="2" t="s">
        <v>89</v>
      </c>
      <c r="H30" s="2"/>
      <c r="I30" s="2">
        <f>'P-P Kabels'!$D$5+'P-P Kabels'!$D$8*COS(I27)</f>
        <v>513.30328167398704</v>
      </c>
      <c r="J30" s="2">
        <f>'P-P Kabels'!$D$8*SIN(I27)</f>
        <v>26.889081365910585</v>
      </c>
      <c r="K30" s="2"/>
      <c r="L30" s="6">
        <f>L8+'P-P Kabels'!$D$8*COS(L27)</f>
        <v>487.60028725511717</v>
      </c>
      <c r="M30" s="7">
        <f>'P-P Kabels'!$D$8*SIN(L27)</f>
        <v>27.317524116295573</v>
      </c>
      <c r="N30" s="7">
        <f>'P-P Kabels'!$D$5+'P-P Kabels'!$D$8*COS(N27)</f>
        <v>513.30328167398704</v>
      </c>
      <c r="O30" s="10">
        <f>'P-P Kabels'!$D$8*SIN(N27)</f>
        <v>26.889081365910585</v>
      </c>
      <c r="P30" s="6">
        <f>P8+'P-P Kabels'!$D$8*COS(P27)</f>
        <v>488.99557600724484</v>
      </c>
      <c r="Q30" s="7">
        <f>'P-P Kabels'!$D$8*SIN(P27)</f>
        <v>27.908827502918751</v>
      </c>
      <c r="R30" s="7">
        <f>'P-P Kabels'!$D$5+'P-P Kabels'!$D$8*COS(R27)</f>
        <v>511.92847545745889</v>
      </c>
      <c r="S30" s="10">
        <f>'P-P Kabels'!$D$8*SIN(R27)</f>
        <v>27.526559415604428</v>
      </c>
      <c r="T30" s="6">
        <f>T8+'P-P Kabels'!$D$8*COS(T27)</f>
        <v>490.47611620304701</v>
      </c>
      <c r="U30" s="7">
        <f>'P-P Kabels'!$D$8*SIN(T27)</f>
        <v>28.448121861067317</v>
      </c>
      <c r="V30" s="7">
        <f>'P-P Kabels'!$D$5+'P-P Kabels'!$D$8*COS(V27)</f>
        <v>510.46673176568612</v>
      </c>
      <c r="W30" s="10">
        <f>'P-P Kabels'!$D$8*SIN(V27)</f>
        <v>28.114898650807501</v>
      </c>
      <c r="X30" s="6">
        <f>X8+'P-P Kabels'!$D$8*COS(X27)</f>
        <v>492.03101262508966</v>
      </c>
      <c r="Y30" s="7">
        <f>'P-P Kabels'!$D$8*SIN(X27)</f>
        <v>28.922227442202981</v>
      </c>
      <c r="Z30" s="7">
        <f>'P-P Kabels'!$D$5+'P-P Kabels'!$D$8*COS(Z27)</f>
        <v>508.92850049927455</v>
      </c>
      <c r="AA30" s="10">
        <f>'P-P Kabels'!$D$8*SIN(Z27)</f>
        <v>28.640563521593879</v>
      </c>
      <c r="AB30" s="6">
        <f>AB8+'P-P Kabels'!$D$8*COS(AB27)</f>
        <v>493.64872517452727</v>
      </c>
      <c r="AC30" s="7">
        <f>'P-P Kabels'!$D$8*SIN(AB27)</f>
        <v>29.319981379450375</v>
      </c>
      <c r="AD30" s="7">
        <f>'P-P Kabels'!$D$5+'P-P Kabels'!$D$8*COS(AD27)</f>
        <v>507.32494330202462</v>
      </c>
      <c r="AE30" s="10">
        <f>'P-P Kabels'!$D$8*SIN(AD27)</f>
        <v>29.092012746149493</v>
      </c>
      <c r="AF30" s="6">
        <f>AF8+'P-P Kabels'!$D$8*COS(AF27)</f>
        <v>495.31716879024083</v>
      </c>
      <c r="AG30" s="7">
        <f>'P-P Kabels'!$D$8*SIN(AF27)</f>
        <v>29.632264372823506</v>
      </c>
      <c r="AH30" s="7">
        <f>'P-P Kabels'!$D$5+'P-P Kabels'!$D$8*COS(AH27)</f>
        <v>505.6678345866884</v>
      </c>
      <c r="AI30" s="10">
        <f>'P-P Kabels'!$D$8*SIN(AH27)</f>
        <v>29.459729311348724</v>
      </c>
      <c r="AJ30" s="6">
        <f>AJ8+'P-P Kabels'!$D$8*COS(AJ27)</f>
        <v>497.02381500701705</v>
      </c>
      <c r="AK30" s="7">
        <f>'P-P Kabels'!$D$8*SIN(AJ27)</f>
        <v>29.852007016070843</v>
      </c>
      <c r="AL30" s="7">
        <f>'P-P Kabels'!$D$5+'P-P Kabels'!$D$8*COS(AL27)</f>
        <v>503.96946024407646</v>
      </c>
      <c r="AM30" s="10">
        <f>'P-P Kabels'!$D$8*SIN(AL27)</f>
        <v>29.736230180887027</v>
      </c>
      <c r="AN30" s="6">
        <f>AN8+'P-P Kabels'!$D$8*COS(AN27)</f>
        <v>498.75579450033985</v>
      </c>
      <c r="AO30" s="7">
        <f>'P-P Kabels'!$D$8*SIN(AN27)</f>
        <v>29.974188107013262</v>
      </c>
      <c r="AP30" s="7">
        <f>'P-P Kabels'!$D$5+'P-P Kabels'!$D$8*COS(AP27)</f>
        <v>502.24251509892224</v>
      </c>
      <c r="AQ30" s="10">
        <f>'P-P Kabels'!$D$8*SIN(AP27)</f>
        <v>29.91606802424252</v>
      </c>
    </row>
    <row r="31" spans="1:43" x14ac:dyDescent="0.2">
      <c r="A31" s="2"/>
      <c r="B31" s="2" t="s">
        <v>78</v>
      </c>
      <c r="C31" s="2"/>
      <c r="D31" s="2">
        <f>'P-P Kabels'!$D$5+'P-P Kabels'!$D$8*COS(D28)</f>
        <v>513.30328167398704</v>
      </c>
      <c r="E31" s="2">
        <f>'P-P Kabels'!$D$8*SIN(D28)</f>
        <v>-26.889081365910585</v>
      </c>
      <c r="F31" s="2"/>
      <c r="G31" s="2" t="s">
        <v>90</v>
      </c>
      <c r="H31" s="2"/>
      <c r="I31" s="2">
        <f>'P-P Kabels'!$D$5+'P-P Kabels'!$D$8*COS(I28)</f>
        <v>487.60028725511717</v>
      </c>
      <c r="J31" s="2">
        <f>'P-P Kabels'!$D$8*SIN(I28)</f>
        <v>-27.317524116295573</v>
      </c>
      <c r="K31" s="2"/>
      <c r="L31" s="6">
        <f>'P-P Kabels'!$D$5+'P-P Kabels'!$D$8*COS(L28)</f>
        <v>513.30328167398704</v>
      </c>
      <c r="M31" s="7">
        <f>'P-P Kabels'!$D$8*SIN(L28)</f>
        <v>-26.889081365910585</v>
      </c>
      <c r="N31" s="7">
        <f>'P-P Kabels'!$D$5+'P-P Kabels'!$D$8*COS(N28)</f>
        <v>487.60028725511717</v>
      </c>
      <c r="O31" s="10">
        <f>'P-P Kabels'!$D$8*SIN(N28)</f>
        <v>-27.317524116295573</v>
      </c>
      <c r="P31" s="6">
        <f>'P-P Kabels'!$D$5+'P-P Kabels'!$D$8*COS(P28)</f>
        <v>511.92847545745889</v>
      </c>
      <c r="Q31" s="7">
        <f>'P-P Kabels'!$D$8*SIN(P28)</f>
        <v>-27.526559415604428</v>
      </c>
      <c r="R31" s="7">
        <f>'P-P Kabels'!$D$5+'P-P Kabels'!$D$8*COS(R28)</f>
        <v>488.99557600724484</v>
      </c>
      <c r="S31" s="10">
        <f>'P-P Kabels'!$D$8*SIN(R28)</f>
        <v>-27.908827502918751</v>
      </c>
      <c r="T31" s="6">
        <f>'P-P Kabels'!$D$5+'P-P Kabels'!$D$8*COS(T28)</f>
        <v>510.46673176568612</v>
      </c>
      <c r="U31" s="7">
        <f>'P-P Kabels'!$D$8*SIN(T28)</f>
        <v>-28.114898650807501</v>
      </c>
      <c r="V31" s="7">
        <f>'P-P Kabels'!$D$5+'P-P Kabels'!$D$8*COS(V28)</f>
        <v>490.47611620304701</v>
      </c>
      <c r="W31" s="10">
        <f>'P-P Kabels'!$D$8*SIN(V28)</f>
        <v>-28.448121861067317</v>
      </c>
      <c r="X31" s="6">
        <f>'P-P Kabels'!$D$5+'P-P Kabels'!$D$8*COS(X28)</f>
        <v>508.92850049927455</v>
      </c>
      <c r="Y31" s="7">
        <f>'P-P Kabels'!$D$8*SIN(X28)</f>
        <v>-28.640563521593879</v>
      </c>
      <c r="Z31" s="7">
        <f>'P-P Kabels'!$D$5+'P-P Kabels'!$D$8*COS(Z28)</f>
        <v>492.0310126250896</v>
      </c>
      <c r="AA31" s="10">
        <f>'P-P Kabels'!$D$8*SIN(Z28)</f>
        <v>-28.922227442202981</v>
      </c>
      <c r="AB31" s="6">
        <f>'P-P Kabels'!$D$5+'P-P Kabels'!$D$8*COS(AB28)</f>
        <v>507.32494330202462</v>
      </c>
      <c r="AC31" s="7">
        <f>'P-P Kabels'!$D$8*SIN(AB28)</f>
        <v>-29.092012746149493</v>
      </c>
      <c r="AD31" s="7">
        <f>'P-P Kabels'!$D$5+'P-P Kabels'!$D$8*COS(AD28)</f>
        <v>493.64872517452727</v>
      </c>
      <c r="AE31" s="10">
        <f>'P-P Kabels'!$D$8*SIN(AD28)</f>
        <v>-29.319981379450375</v>
      </c>
      <c r="AF31" s="6">
        <f>'P-P Kabels'!$D$5+'P-P Kabels'!$D$8*COS(AF28)</f>
        <v>505.66783458668834</v>
      </c>
      <c r="AG31" s="7">
        <f>'P-P Kabels'!$D$8*SIN(AF28)</f>
        <v>-29.459729311348724</v>
      </c>
      <c r="AH31" s="7">
        <f>'P-P Kabels'!$D$5+'P-P Kabels'!$D$8*COS(AH28)</f>
        <v>495.31716879024083</v>
      </c>
      <c r="AI31" s="10">
        <f>'P-P Kabels'!$D$8*SIN(AH28)</f>
        <v>-29.632264372823506</v>
      </c>
      <c r="AJ31" s="6">
        <f>'P-P Kabels'!$D$5+'P-P Kabels'!$D$8*COS(AJ28)</f>
        <v>503.96946024407646</v>
      </c>
      <c r="AK31" s="7">
        <f>'P-P Kabels'!$D$8*SIN(AJ28)</f>
        <v>-29.736230180887027</v>
      </c>
      <c r="AL31" s="7">
        <f>'P-P Kabels'!$D$5+'P-P Kabels'!$D$8*COS(AL28)</f>
        <v>497.02381500701705</v>
      </c>
      <c r="AM31" s="10">
        <f>'P-P Kabels'!$D$8*SIN(AL28)</f>
        <v>-29.852007016070843</v>
      </c>
      <c r="AN31" s="6">
        <f>'P-P Kabels'!$D$5+'P-P Kabels'!$D$8*COS(AN28)</f>
        <v>502.24251509892224</v>
      </c>
      <c r="AO31" s="7">
        <f>'P-P Kabels'!$D$8*SIN(AN28)</f>
        <v>-29.91606802424252</v>
      </c>
      <c r="AP31" s="7">
        <f>'P-P Kabels'!$D$5+'P-P Kabels'!$D$8*COS(AP28)</f>
        <v>498.75579450033985</v>
      </c>
      <c r="AQ31" s="10">
        <f>'P-P Kabels'!$D$8*SIN(AP28)</f>
        <v>-29.974188107013262</v>
      </c>
    </row>
    <row r="32" spans="1:43" x14ac:dyDescent="0.2">
      <c r="A32" s="2"/>
      <c r="B32" s="2" t="s">
        <v>79</v>
      </c>
      <c r="C32" s="2"/>
      <c r="D32" s="2">
        <f>'P-P Kabels'!$D$5+'P-P Kabels'!$D$10*COS(D29)</f>
        <v>563.24982503729552</v>
      </c>
      <c r="E32" s="2">
        <f>'P-P Kabels'!$D$10*SIN(D29)</f>
        <v>29.990992526948784</v>
      </c>
      <c r="F32" s="2"/>
      <c r="G32" s="2" t="s">
        <v>91</v>
      </c>
      <c r="H32" s="2"/>
      <c r="I32" s="2">
        <f>'P-P Kabels'!$D$5+'P-P Kabels'!$D$10*COS(I29)</f>
        <v>563.24982503729552</v>
      </c>
      <c r="J32" s="2">
        <f>'P-P Kabels'!$D$10*SIN(I29)</f>
        <v>-29.990992526948784</v>
      </c>
      <c r="K32" s="2"/>
      <c r="L32" s="6">
        <f>'P-P Kabels'!$D$5+'P-P Kabels'!$D$10*COS(L29)</f>
        <v>563.24982503729552</v>
      </c>
      <c r="M32" s="7">
        <f>'P-P Kabels'!$D$10*SIN(L29)</f>
        <v>29.990992526948784</v>
      </c>
      <c r="N32" s="7">
        <f>'P-P Kabels'!$D$5+'P-P Kabels'!$D$10*COS(N29)</f>
        <v>563.24982503729552</v>
      </c>
      <c r="O32" s="10">
        <f>'P-P Kabels'!$D$10*SIN(N29)</f>
        <v>-29.990992526948784</v>
      </c>
      <c r="P32" s="6">
        <f>'P-P Kabels'!$D$5+'P-P Kabels'!$D$10*COS(P29)</f>
        <v>564.68360252925902</v>
      </c>
      <c r="Q32" s="7">
        <f>'P-P Kabels'!$D$10*SIN(P29)</f>
        <v>26.758766112002224</v>
      </c>
      <c r="R32" s="7">
        <f>'P-P Kabels'!$D$5+'P-P Kabels'!$D$10*COS(R29)</f>
        <v>564.68360252925902</v>
      </c>
      <c r="S32" s="10">
        <f>'P-P Kabels'!$D$10*SIN(R29)</f>
        <v>-26.758766112002224</v>
      </c>
      <c r="T32" s="6">
        <f>'P-P Kabels'!$D$5+'P-P Kabels'!$D$10*COS(T29)</f>
        <v>565.9993578113174</v>
      </c>
      <c r="U32" s="7">
        <f>'P-P Kabels'!$D$10*SIN(T29)</f>
        <v>23.325624718187051</v>
      </c>
      <c r="V32" s="7">
        <f>'P-P Kabels'!$D$5+'P-P Kabels'!$D$10*COS(V29)</f>
        <v>565.9993578113174</v>
      </c>
      <c r="W32" s="10">
        <f>'P-P Kabels'!$D$10*SIN(V29)</f>
        <v>-23.325624718187051</v>
      </c>
      <c r="X32" s="6">
        <f>'P-P Kabels'!$D$5+'P-P Kabels'!$D$10*COS(X29)</f>
        <v>567.16591870549269</v>
      </c>
      <c r="Y32" s="7">
        <f>'P-P Kabels'!$D$10*SIN(X29)</f>
        <v>19.716474442636923</v>
      </c>
      <c r="Z32" s="7">
        <f>'P-P Kabels'!$D$5+'P-P Kabels'!$D$10*COS(Z29)</f>
        <v>567.16591870549269</v>
      </c>
      <c r="AA32" s="10">
        <f>'P-P Kabels'!$D$10*SIN(Z29)</f>
        <v>-19.716474442636933</v>
      </c>
      <c r="AB32" s="6">
        <f>'P-P Kabels'!$D$5+'P-P Kabels'!$D$10*COS(AB29)</f>
        <v>568.1567933586341</v>
      </c>
      <c r="AC32" s="7">
        <f>'P-P Kabels'!$D$10*SIN(AB29)</f>
        <v>15.957804331061585</v>
      </c>
      <c r="AD32" s="7">
        <f>'P-P Kabels'!$D$5+'P-P Kabels'!$D$10*COS(AD29)</f>
        <v>568.1567933586341</v>
      </c>
      <c r="AE32" s="10">
        <f>'P-P Kabels'!$D$10*SIN(AD29)</f>
        <v>-15.957804331061585</v>
      </c>
      <c r="AF32" s="6">
        <f>'P-P Kabels'!$D$5+'P-P Kabels'!$D$10*COS(AF29)</f>
        <v>568.95023638504279</v>
      </c>
      <c r="AG32" s="7">
        <f>'P-P Kabels'!$D$10*SIN(AF29)</f>
        <v>12.077454303234896</v>
      </c>
      <c r="AH32" s="7">
        <f>'P-P Kabels'!$D$5+'P-P Kabels'!$D$10*COS(AH29)</f>
        <v>568.95023638504279</v>
      </c>
      <c r="AI32" s="10">
        <f>'P-P Kabels'!$D$10*SIN(AH29)</f>
        <v>-12.077454303234912</v>
      </c>
      <c r="AJ32" s="6">
        <f>'P-P Kabels'!$D$5+'P-P Kabels'!$D$10*COS(AJ29)</f>
        <v>569.5292675765437</v>
      </c>
      <c r="AK32" s="7">
        <f>'P-P Kabels'!$D$10*SIN(AJ29)</f>
        <v>8.1043784628672579</v>
      </c>
      <c r="AL32" s="7">
        <f>'P-P Kabels'!$D$5+'P-P Kabels'!$D$10*COS(AL29)</f>
        <v>569.5292675765437</v>
      </c>
      <c r="AM32" s="10">
        <f>'P-P Kabels'!$D$10*SIN(AL29)</f>
        <v>-8.1043784628672739</v>
      </c>
      <c r="AN32" s="6">
        <f>'P-P Kabels'!$D$5+'P-P Kabels'!$D$10*COS(AN29)</f>
        <v>569.88167194834239</v>
      </c>
      <c r="AO32" s="7">
        <f>'P-P Kabels'!$D$10*SIN(AN29)</f>
        <v>4.0684057939518805</v>
      </c>
      <c r="AP32" s="7">
        <f>'P-P Kabels'!$D$5+'P-P Kabels'!$D$10*COS(AP29)</f>
        <v>569.88167194834239</v>
      </c>
      <c r="AQ32" s="10">
        <f>'P-P Kabels'!$D$10*SIN(AP29)</f>
        <v>-4.0684057939518805</v>
      </c>
    </row>
    <row r="33" spans="1:43" x14ac:dyDescent="0.2">
      <c r="A33" s="2"/>
      <c r="B33" s="2" t="s">
        <v>80</v>
      </c>
      <c r="C33" s="2"/>
      <c r="D33" s="2">
        <f>SQRT((D23-D31)^2+(E23-E31)^2)</f>
        <v>500.58121502977991</v>
      </c>
      <c r="E33" s="2"/>
      <c r="F33" s="2"/>
      <c r="G33" s="2" t="s">
        <v>93</v>
      </c>
      <c r="H33" s="2"/>
      <c r="I33" s="2">
        <f>SQRT((I22-I30)^2+(J22-J30)^2)</f>
        <v>500.58121502977991</v>
      </c>
      <c r="J33" s="2"/>
      <c r="K33" s="2"/>
      <c r="L33" s="6">
        <f>SQRT((L23-L31)^2+(M23-M31)^2)</f>
        <v>500.58121502977991</v>
      </c>
      <c r="M33" s="7"/>
      <c r="N33" s="7">
        <f>SQRT((N22-N30)^2+(O22-O30)^2)</f>
        <v>500.58121502977991</v>
      </c>
      <c r="O33" s="10"/>
      <c r="P33" s="6">
        <f>SQRT((P23-P31)^2+(Q23-Q31)^2)</f>
        <v>500.58099597964855</v>
      </c>
      <c r="Q33" s="7"/>
      <c r="R33" s="7">
        <f>SQRT((R22-R30)^2+(S22-S30)^2)</f>
        <v>500.58099597964855</v>
      </c>
      <c r="S33" s="10"/>
      <c r="T33" s="6">
        <f>SQRT((T23-T31)^2+(U23-U31)^2)</f>
        <v>500.58312843334568</v>
      </c>
      <c r="U33" s="7"/>
      <c r="V33" s="7">
        <f>SQRT((V22-V30)^2+(W22-W30)^2)</f>
        <v>500.58312843334568</v>
      </c>
      <c r="W33" s="10"/>
      <c r="X33" s="6">
        <f>SQRT((X23-X31)^2+(Y23-Y31)^2)</f>
        <v>500.58657067507596</v>
      </c>
      <c r="Y33" s="7"/>
      <c r="Z33" s="7">
        <f>SQRT((Z22-Z30)^2+(AA22-AA30)^2)</f>
        <v>500.58657067507596</v>
      </c>
      <c r="AA33" s="10"/>
      <c r="AB33" s="6">
        <f>SQRT((AB23-AB31)^2+(AC23-AC31)^2)</f>
        <v>500.59047865609284</v>
      </c>
      <c r="AC33" s="7"/>
      <c r="AD33" s="7">
        <f>SQRT((AD22-AD30)^2+(AE22-AE30)^2)</f>
        <v>500.59047865609284</v>
      </c>
      <c r="AE33" s="10"/>
      <c r="AF33" s="6">
        <f>SQRT((AF23-AF31)^2+(AG23-AG31)^2)</f>
        <v>500.59418635070489</v>
      </c>
      <c r="AG33" s="7"/>
      <c r="AH33" s="7">
        <f>SQRT((AH22-AH30)^2+(AI22-AI30)^2)</f>
        <v>500.59418635070494</v>
      </c>
      <c r="AI33" s="10"/>
      <c r="AJ33" s="6">
        <f>SQRT((AJ23-AJ31)^2+(AK23-AK31)^2)</f>
        <v>500.59718967262484</v>
      </c>
      <c r="AK33" s="7"/>
      <c r="AL33" s="7">
        <f>SQRT((AL22-AL30)^2+(AM22-AM30)^2)</f>
        <v>500.59718967262484</v>
      </c>
      <c r="AM33" s="10"/>
      <c r="AN33" s="6">
        <f>SQRT((AN23-AN31)^2+(AO23-AO31)^2)</f>
        <v>500.59913422524636</v>
      </c>
      <c r="AO33" s="7"/>
      <c r="AP33" s="7">
        <f>SQRT((AP22-AP30)^2+(AQ22-AQ30)^2)</f>
        <v>500.59913422524636</v>
      </c>
      <c r="AQ33" s="10"/>
    </row>
    <row r="34" spans="1:43" x14ac:dyDescent="0.2">
      <c r="A34" s="2"/>
      <c r="B34" s="2"/>
      <c r="C34" s="2"/>
      <c r="D34" s="2"/>
      <c r="E34" s="2"/>
      <c r="F34" s="2"/>
      <c r="G34" s="2" t="s">
        <v>97</v>
      </c>
      <c r="H34" s="2"/>
      <c r="I34" s="2">
        <f>D29-D13</f>
        <v>0.4427686282294987</v>
      </c>
      <c r="J34" s="2"/>
      <c r="K34" s="2"/>
      <c r="L34" s="6"/>
      <c r="M34" s="7"/>
      <c r="N34" s="7">
        <f>L29-L13</f>
        <v>0.4427686282294987</v>
      </c>
      <c r="O34" s="10"/>
      <c r="P34" s="6"/>
      <c r="Q34" s="7"/>
      <c r="R34" s="7">
        <f>P29-P13</f>
        <v>0.39224955729071964</v>
      </c>
      <c r="S34" s="10"/>
      <c r="T34" s="6"/>
      <c r="U34" s="7"/>
      <c r="V34" s="7">
        <f>T29-T13</f>
        <v>0.3397201087074424</v>
      </c>
      <c r="W34" s="10"/>
      <c r="X34" s="6"/>
      <c r="Y34" s="7"/>
      <c r="Z34" s="7">
        <f>X29-X13</f>
        <v>0.28552779903957837</v>
      </c>
      <c r="AA34" s="10"/>
      <c r="AB34" s="6"/>
      <c r="AC34" s="7"/>
      <c r="AD34" s="7">
        <f>AB29-AB13</f>
        <v>0.22999086933178425</v>
      </c>
      <c r="AE34" s="10"/>
      <c r="AF34" s="6"/>
      <c r="AG34" s="7"/>
      <c r="AH34" s="7">
        <f>AF29-AF13</f>
        <v>0.17340274976611858</v>
      </c>
      <c r="AI34" s="10"/>
      <c r="AJ34" s="6"/>
      <c r="AK34" s="7"/>
      <c r="AL34" s="7">
        <f>AJ29-AJ13</f>
        <v>0.11603705867554059</v>
      </c>
      <c r="AM34" s="10"/>
      <c r="AN34" s="6"/>
      <c r="AO34" s="7"/>
      <c r="AP34" s="7">
        <f>AN29-AN13</f>
        <v>5.8152853673797411E-2</v>
      </c>
      <c r="AQ34" s="10"/>
    </row>
    <row r="35" spans="1:43" ht="13.5" thickBot="1" x14ac:dyDescent="0.25">
      <c r="A35" s="2"/>
      <c r="E35" s="2"/>
      <c r="F35" s="2"/>
      <c r="G35" s="2" t="s">
        <v>98</v>
      </c>
      <c r="H35" s="2"/>
      <c r="I35" s="2">
        <f>SQRT((D16-I32)^2+(E16-J32)^2)</f>
        <v>30.741250702901148</v>
      </c>
      <c r="J35" s="2"/>
      <c r="K35" s="2"/>
      <c r="L35" s="8"/>
      <c r="M35" s="9"/>
      <c r="N35" s="9">
        <f>SQRT((L16-N32)^2+(M16-O32)^2)</f>
        <v>30.741250702901148</v>
      </c>
      <c r="O35" s="11"/>
      <c r="P35" s="8"/>
      <c r="Q35" s="9"/>
      <c r="R35" s="9">
        <f>SQRT((P16-R32)^2+(Q16-S32)^2)</f>
        <v>27.281782308048346</v>
      </c>
      <c r="S35" s="11"/>
      <c r="T35" s="8"/>
      <c r="U35" s="9"/>
      <c r="V35" s="9">
        <f>SQRT((T16-V32)^2+(U16-W32)^2)</f>
        <v>23.66621867590101</v>
      </c>
      <c r="W35" s="11"/>
      <c r="X35" s="8"/>
      <c r="Y35" s="9"/>
      <c r="Z35" s="9">
        <f>SQRT((X16-Z32)^2+(Y16-AA32)^2)</f>
        <v>19.919120995441329</v>
      </c>
      <c r="AA35" s="11"/>
      <c r="AB35" s="8"/>
      <c r="AC35" s="9"/>
      <c r="AD35" s="9">
        <f>SQRT((AB16-AD32)^2+(AC16-AE32)^2)</f>
        <v>16.063901449872731</v>
      </c>
      <c r="AE35" s="11"/>
      <c r="AF35" s="8"/>
      <c r="AG35" s="9"/>
      <c r="AH35" s="9">
        <f>SQRT((AF16-AH32)^2+(AG16-AI32)^2)</f>
        <v>12.122990806480699</v>
      </c>
      <c r="AI35" s="11"/>
      <c r="AJ35" s="8"/>
      <c r="AK35" s="9"/>
      <c r="AL35" s="9">
        <f>SQRT((AJ16-AL32)^2+(AK16-AM32)^2)</f>
        <v>8.118037896184024</v>
      </c>
      <c r="AM35" s="11"/>
      <c r="AN35" s="8"/>
      <c r="AO35" s="9"/>
      <c r="AP35" s="9">
        <f>SQRT((AN16-AP32)^2+(AO16-AQ32)^2)</f>
        <v>4.0701261936296662</v>
      </c>
      <c r="AQ35" s="11"/>
    </row>
    <row r="36" spans="1:43" ht="13.5" thickBot="1" x14ac:dyDescent="0.25">
      <c r="A36" s="2"/>
      <c r="E36" s="2"/>
      <c r="F36" s="2"/>
      <c r="G36" s="2"/>
      <c r="H36" s="2"/>
      <c r="I36" s="2"/>
      <c r="J36" s="2"/>
      <c r="K36" s="2"/>
      <c r="L36" s="2"/>
      <c r="M36" s="2"/>
      <c r="N36" s="2"/>
      <c r="O36" s="2"/>
      <c r="P36" s="2"/>
    </row>
    <row r="37" spans="1:43" x14ac:dyDescent="0.2">
      <c r="A37" s="2"/>
      <c r="B37" s="1" t="s">
        <v>94</v>
      </c>
      <c r="C37" s="2"/>
      <c r="D37" s="2"/>
      <c r="E37" s="2"/>
      <c r="F37" s="2"/>
      <c r="G37" s="3" t="s">
        <v>143</v>
      </c>
      <c r="H37" s="4"/>
      <c r="I37" s="5"/>
      <c r="J37" s="2"/>
      <c r="K37" s="2"/>
      <c r="L37" s="2"/>
      <c r="M37" s="2"/>
      <c r="N37" s="2"/>
      <c r="O37" s="2"/>
      <c r="P37" s="2"/>
    </row>
    <row r="38" spans="1:43" x14ac:dyDescent="0.2">
      <c r="A38" s="2"/>
      <c r="B38" s="2"/>
      <c r="C38" s="49" t="s">
        <v>1</v>
      </c>
      <c r="D38" s="49" t="s">
        <v>2</v>
      </c>
      <c r="E38" s="2"/>
      <c r="F38" s="2"/>
      <c r="G38" s="33" t="s">
        <v>118</v>
      </c>
      <c r="H38" s="7">
        <f>-'P-P Kabels'!$D$12*8/8</f>
        <v>-40</v>
      </c>
      <c r="I38" s="10">
        <f>-DEGREES(N34)</f>
        <v>-25.368773698347276</v>
      </c>
      <c r="J38" s="2"/>
      <c r="K38" s="2"/>
      <c r="L38" s="2"/>
      <c r="M38" s="2"/>
      <c r="N38" s="2"/>
      <c r="O38" s="2"/>
      <c r="P38" s="2"/>
    </row>
    <row r="39" spans="1:43" x14ac:dyDescent="0.2">
      <c r="A39" s="2"/>
      <c r="B39" s="2" t="s">
        <v>22</v>
      </c>
      <c r="C39" s="49">
        <f>D3</f>
        <v>0</v>
      </c>
      <c r="D39" s="49">
        <f>E3</f>
        <v>0</v>
      </c>
      <c r="E39" s="2"/>
      <c r="F39" s="2"/>
      <c r="G39" s="33" t="s">
        <v>126</v>
      </c>
      <c r="H39" s="7">
        <f>-'P-P Kabels'!$D$12*7/8</f>
        <v>-35</v>
      </c>
      <c r="I39" s="10">
        <f>-DEGREES(R34)</f>
        <v>-22.474244148633225</v>
      </c>
      <c r="J39" s="2"/>
      <c r="K39" s="2"/>
      <c r="L39" s="2"/>
      <c r="M39" s="2"/>
      <c r="N39" s="2"/>
      <c r="O39" s="2"/>
      <c r="P39" s="2"/>
    </row>
    <row r="40" spans="1:43" x14ac:dyDescent="0.2">
      <c r="A40" s="2"/>
      <c r="B40" s="2"/>
      <c r="C40" s="49">
        <f>D4</f>
        <v>0</v>
      </c>
      <c r="D40" s="49">
        <f>E4</f>
        <v>20</v>
      </c>
      <c r="E40" s="2"/>
      <c r="F40" s="2"/>
      <c r="G40" s="33" t="s">
        <v>127</v>
      </c>
      <c r="H40" s="7">
        <f>-'P-P Kabels'!$D$12*6/8</f>
        <v>-30</v>
      </c>
      <c r="I40" s="10">
        <f>-DEGREES(V34)</f>
        <v>-19.46452844466198</v>
      </c>
      <c r="J40" s="2"/>
      <c r="K40" s="2"/>
      <c r="L40" s="2"/>
      <c r="M40" s="2"/>
      <c r="N40" s="2"/>
      <c r="O40" s="2"/>
      <c r="P40" s="2"/>
    </row>
    <row r="41" spans="1:43" x14ac:dyDescent="0.2">
      <c r="A41" s="2"/>
      <c r="B41" s="2"/>
      <c r="C41" s="49">
        <f>D9</f>
        <v>500.5</v>
      </c>
      <c r="D41" s="49">
        <f>E9</f>
        <v>29.995833043941285</v>
      </c>
      <c r="E41" s="2"/>
      <c r="F41" s="2"/>
      <c r="G41" s="33" t="s">
        <v>128</v>
      </c>
      <c r="H41" s="7">
        <f>-'P-P Kabels'!$D$12*5/8</f>
        <v>-25</v>
      </c>
      <c r="I41" s="10">
        <f>-DEGREES(Z34)</f>
        <v>-16.359537818627359</v>
      </c>
      <c r="J41" s="2"/>
      <c r="K41" s="2"/>
      <c r="L41" s="2"/>
      <c r="M41" s="2"/>
      <c r="N41" s="2"/>
      <c r="O41" s="2"/>
      <c r="P41" s="2"/>
    </row>
    <row r="42" spans="1:43" x14ac:dyDescent="0.2">
      <c r="A42" s="2"/>
      <c r="B42" s="2"/>
      <c r="C42" s="49">
        <f>D8</f>
        <v>500</v>
      </c>
      <c r="D42" s="49">
        <f>E8</f>
        <v>0</v>
      </c>
      <c r="E42" s="2"/>
      <c r="F42" s="2"/>
      <c r="G42" s="33" t="s">
        <v>129</v>
      </c>
      <c r="H42" s="7">
        <f>-'P-P Kabels'!$D$12*4/8</f>
        <v>-20</v>
      </c>
      <c r="I42" s="10">
        <f>-DEGREES(AD34)</f>
        <v>-13.177506139256037</v>
      </c>
      <c r="J42" s="2"/>
      <c r="K42" s="2"/>
      <c r="L42" s="2"/>
      <c r="M42" s="2"/>
      <c r="N42" s="2"/>
      <c r="O42" s="2"/>
      <c r="P42" s="2"/>
    </row>
    <row r="43" spans="1:43" x14ac:dyDescent="0.2">
      <c r="A43" s="2"/>
      <c r="B43" s="2"/>
      <c r="C43" s="49">
        <f>D16</f>
        <v>570</v>
      </c>
      <c r="D43" s="49">
        <f>E16</f>
        <v>0</v>
      </c>
      <c r="E43" s="2"/>
      <c r="F43" s="2"/>
      <c r="G43" s="33" t="s">
        <v>130</v>
      </c>
      <c r="H43" s="7">
        <f>-'P-P Kabels'!$D$12*3/8</f>
        <v>-15</v>
      </c>
      <c r="I43" s="10">
        <f>-DEGREES(AH34)</f>
        <v>-9.9352457175617168</v>
      </c>
      <c r="J43" s="2"/>
      <c r="K43" s="2"/>
      <c r="L43" s="2"/>
      <c r="M43" s="2"/>
      <c r="N43" s="2"/>
      <c r="O43" s="2"/>
      <c r="P43" s="2"/>
    </row>
    <row r="44" spans="1:43" x14ac:dyDescent="0.2">
      <c r="A44" s="2"/>
      <c r="B44" s="2"/>
      <c r="C44" s="49">
        <f>D8</f>
        <v>500</v>
      </c>
      <c r="D44" s="49">
        <f>E8</f>
        <v>0</v>
      </c>
      <c r="E44" s="2"/>
      <c r="F44" s="2"/>
      <c r="G44" s="33" t="s">
        <v>131</v>
      </c>
      <c r="H44" s="7">
        <f>-'P-P Kabels'!$D$12*2/8</f>
        <v>-10</v>
      </c>
      <c r="I44" s="10">
        <f>-DEGREES(AL34)</f>
        <v>-6.6484337292203701</v>
      </c>
      <c r="J44" s="2"/>
      <c r="K44" s="2"/>
      <c r="L44" s="2"/>
      <c r="M44" s="2"/>
      <c r="N44" s="2"/>
      <c r="O44" s="2"/>
      <c r="P44" s="2"/>
    </row>
    <row r="45" spans="1:43" x14ac:dyDescent="0.2">
      <c r="A45" s="2"/>
      <c r="B45" s="2"/>
      <c r="C45" s="49">
        <f>D10</f>
        <v>500.5</v>
      </c>
      <c r="D45" s="49">
        <f>E10</f>
        <v>-29.995833043941285</v>
      </c>
      <c r="E45" s="2"/>
      <c r="F45" s="2"/>
      <c r="G45" s="33" t="s">
        <v>132</v>
      </c>
      <c r="H45" s="7">
        <f>-'P-P Kabels'!$D$12*1/8</f>
        <v>-5</v>
      </c>
      <c r="I45" s="10">
        <f>-DEGREES(AP34)</f>
        <v>-3.3319130821504359</v>
      </c>
      <c r="J45" s="2"/>
      <c r="K45" s="2"/>
      <c r="L45" s="2"/>
      <c r="M45" s="2"/>
      <c r="N45" s="2"/>
      <c r="O45" s="2"/>
      <c r="P45" s="2"/>
    </row>
    <row r="46" spans="1:43" x14ac:dyDescent="0.2">
      <c r="A46" s="2"/>
      <c r="B46" s="2"/>
      <c r="C46" s="49">
        <f>D5</f>
        <v>0</v>
      </c>
      <c r="D46" s="49">
        <f>E5</f>
        <v>-20</v>
      </c>
      <c r="E46" s="2"/>
      <c r="F46" s="2"/>
      <c r="G46" s="33" t="s">
        <v>133</v>
      </c>
      <c r="H46" s="7">
        <v>0</v>
      </c>
      <c r="I46" s="10">
        <v>0</v>
      </c>
      <c r="J46" s="2"/>
      <c r="K46" s="2"/>
      <c r="L46" s="2"/>
      <c r="M46" s="2"/>
      <c r="N46" s="2"/>
      <c r="O46" s="2"/>
      <c r="P46" s="2"/>
    </row>
    <row r="47" spans="1:43" x14ac:dyDescent="0.2">
      <c r="A47" s="2"/>
      <c r="B47" s="2"/>
      <c r="C47" s="49">
        <f>D3</f>
        <v>0</v>
      </c>
      <c r="D47" s="49">
        <f>E3</f>
        <v>0</v>
      </c>
      <c r="E47" s="2"/>
      <c r="F47" s="2"/>
      <c r="G47" s="33" t="s">
        <v>134</v>
      </c>
      <c r="H47" s="7">
        <f>'P-P Kabels'!$D$12*1/8</f>
        <v>5</v>
      </c>
      <c r="I47" s="10">
        <f>-I45</f>
        <v>3.3319130821504359</v>
      </c>
      <c r="J47" s="2"/>
      <c r="K47" s="2"/>
      <c r="L47" s="2"/>
      <c r="M47" s="2"/>
      <c r="N47" s="2"/>
      <c r="O47" s="2"/>
      <c r="P47" s="2"/>
    </row>
    <row r="48" spans="1:43" x14ac:dyDescent="0.2">
      <c r="A48" s="2"/>
      <c r="B48" s="2" t="s">
        <v>23</v>
      </c>
      <c r="C48" s="49">
        <f>D3</f>
        <v>0</v>
      </c>
      <c r="D48" s="49">
        <f>E3</f>
        <v>0</v>
      </c>
      <c r="E48" s="2"/>
      <c r="F48" s="2"/>
      <c r="G48" s="33" t="s">
        <v>135</v>
      </c>
      <c r="H48" s="7">
        <f>'P-P Kabels'!$D$12*2/8</f>
        <v>10</v>
      </c>
      <c r="I48" s="10">
        <f>-I44</f>
        <v>6.6484337292203701</v>
      </c>
      <c r="J48" s="2"/>
      <c r="K48" s="2"/>
      <c r="L48" s="2"/>
      <c r="M48" s="2"/>
      <c r="N48" s="2"/>
      <c r="O48" s="2"/>
      <c r="P48" s="2"/>
    </row>
    <row r="49" spans="1:16" x14ac:dyDescent="0.2">
      <c r="A49" s="2"/>
      <c r="B49" s="2"/>
      <c r="C49" s="49">
        <f>D22</f>
        <v>-12.855752193730787</v>
      </c>
      <c r="D49" s="49">
        <f>E22</f>
        <v>15.32088886237956</v>
      </c>
      <c r="E49" s="2"/>
      <c r="F49" s="2"/>
      <c r="G49" s="33" t="s">
        <v>136</v>
      </c>
      <c r="H49" s="7">
        <f>'P-P Kabels'!$D$12*3/8</f>
        <v>15</v>
      </c>
      <c r="I49" s="10">
        <f>-I43</f>
        <v>9.9352457175617168</v>
      </c>
      <c r="J49" s="2"/>
      <c r="K49" s="2"/>
      <c r="L49" s="2"/>
      <c r="M49" s="2"/>
      <c r="N49" s="2"/>
      <c r="O49" s="2"/>
      <c r="P49" s="2"/>
    </row>
    <row r="50" spans="1:16" x14ac:dyDescent="0.2">
      <c r="A50" s="2"/>
      <c r="B50" s="2"/>
      <c r="C50" s="49">
        <f>D30</f>
        <v>487.60028725511717</v>
      </c>
      <c r="D50" s="49">
        <f>E30</f>
        <v>27.317524116295573</v>
      </c>
      <c r="E50" s="2"/>
      <c r="F50" s="2"/>
      <c r="G50" s="33" t="s">
        <v>137</v>
      </c>
      <c r="H50" s="7">
        <f>'P-P Kabels'!$D$12*4/8</f>
        <v>20</v>
      </c>
      <c r="I50" s="10">
        <f>-I42</f>
        <v>13.177506139256037</v>
      </c>
      <c r="J50" s="2"/>
      <c r="K50" s="2"/>
      <c r="L50" s="2"/>
      <c r="M50" s="2"/>
      <c r="N50" s="2"/>
      <c r="O50" s="2"/>
      <c r="P50" s="2"/>
    </row>
    <row r="51" spans="1:16" x14ac:dyDescent="0.2">
      <c r="A51" s="2"/>
      <c r="B51" s="2"/>
      <c r="C51" s="49">
        <f>D8</f>
        <v>500</v>
      </c>
      <c r="D51" s="49">
        <f>E8</f>
        <v>0</v>
      </c>
      <c r="E51" s="2"/>
      <c r="F51" s="2"/>
      <c r="G51" s="33" t="s">
        <v>138</v>
      </c>
      <c r="H51" s="7">
        <f>'P-P Kabels'!$D$12*5/8</f>
        <v>25</v>
      </c>
      <c r="I51" s="10">
        <f>-I41</f>
        <v>16.359537818627359</v>
      </c>
      <c r="J51" s="2"/>
      <c r="K51" s="2"/>
      <c r="L51" s="2"/>
      <c r="M51" s="2"/>
      <c r="N51" s="2"/>
      <c r="O51" s="2"/>
      <c r="P51" s="2"/>
    </row>
    <row r="52" spans="1:16" x14ac:dyDescent="0.2">
      <c r="A52" s="2"/>
      <c r="B52" s="2"/>
      <c r="C52" s="49">
        <f>D32</f>
        <v>563.24982503729552</v>
      </c>
      <c r="D52" s="49">
        <f>E32</f>
        <v>29.990992526948784</v>
      </c>
      <c r="E52" s="2"/>
      <c r="F52" s="2"/>
      <c r="G52" s="33" t="s">
        <v>139</v>
      </c>
      <c r="H52" s="7">
        <f>'P-P Kabels'!$D$12*6/8</f>
        <v>30</v>
      </c>
      <c r="I52" s="10">
        <f>-I40</f>
        <v>19.46452844466198</v>
      </c>
      <c r="J52" s="2"/>
      <c r="K52" s="2"/>
      <c r="L52" s="2"/>
      <c r="M52" s="2"/>
      <c r="N52" s="2"/>
      <c r="O52" s="2"/>
      <c r="P52" s="2"/>
    </row>
    <row r="53" spans="1:16" x14ac:dyDescent="0.2">
      <c r="A53" s="2"/>
      <c r="B53" s="2"/>
      <c r="C53" s="49">
        <f>D8</f>
        <v>500</v>
      </c>
      <c r="D53" s="49">
        <f>E8</f>
        <v>0</v>
      </c>
      <c r="E53" s="2"/>
      <c r="F53" s="2"/>
      <c r="G53" s="33" t="s">
        <v>140</v>
      </c>
      <c r="H53" s="7">
        <f>'P-P Kabels'!$D$12*7/8</f>
        <v>35</v>
      </c>
      <c r="I53" s="10">
        <f>-I39</f>
        <v>22.474244148633225</v>
      </c>
      <c r="J53" s="2"/>
      <c r="K53" s="2"/>
      <c r="L53" s="2"/>
      <c r="M53" s="2"/>
      <c r="N53" s="2"/>
      <c r="O53" s="2"/>
      <c r="P53" s="2"/>
    </row>
    <row r="54" spans="1:16" ht="13.5" thickBot="1" x14ac:dyDescent="0.25">
      <c r="A54" s="2"/>
      <c r="B54" s="2"/>
      <c r="C54" s="49">
        <f>D31</f>
        <v>513.30328167398704</v>
      </c>
      <c r="D54" s="49">
        <f>E31</f>
        <v>-26.889081365910585</v>
      </c>
      <c r="E54" s="2"/>
      <c r="F54" s="2"/>
      <c r="G54" s="34" t="s">
        <v>141</v>
      </c>
      <c r="H54" s="9">
        <f>'P-P Kabels'!$D$12*8/8</f>
        <v>40</v>
      </c>
      <c r="I54" s="11">
        <f>-I38</f>
        <v>25.368773698347276</v>
      </c>
      <c r="J54" s="2"/>
      <c r="K54" s="2"/>
      <c r="L54" s="2"/>
      <c r="M54" s="2"/>
      <c r="N54" s="2"/>
      <c r="O54" s="2"/>
      <c r="P54" s="2"/>
    </row>
    <row r="55" spans="1:16" x14ac:dyDescent="0.2">
      <c r="A55" s="2"/>
      <c r="B55" s="2"/>
      <c r="C55" s="49">
        <f>D23</f>
        <v>12.855752193730787</v>
      </c>
      <c r="D55" s="49">
        <f>E23</f>
        <v>-15.32088886237956</v>
      </c>
      <c r="E55" s="2"/>
      <c r="F55" s="2"/>
      <c r="G55" s="2"/>
      <c r="H55" s="3" t="s">
        <v>144</v>
      </c>
      <c r="I55" s="5"/>
      <c r="J55" s="2"/>
      <c r="K55" s="2"/>
      <c r="L55" s="2"/>
      <c r="M55" s="2"/>
      <c r="N55" s="2"/>
      <c r="O55" s="2"/>
      <c r="P55" s="2"/>
    </row>
    <row r="56" spans="1:16" x14ac:dyDescent="0.2">
      <c r="A56" s="2"/>
      <c r="B56" s="2"/>
      <c r="C56" s="49">
        <f>D3</f>
        <v>0</v>
      </c>
      <c r="D56" s="49">
        <f>E3</f>
        <v>0</v>
      </c>
      <c r="E56" s="2"/>
      <c r="F56" s="2"/>
      <c r="G56" s="2"/>
      <c r="H56" s="6">
        <f>H38*I60</f>
        <v>0</v>
      </c>
      <c r="I56" s="10">
        <f>I38*I60</f>
        <v>0</v>
      </c>
      <c r="J56" s="2"/>
      <c r="K56" s="2"/>
      <c r="L56" s="2"/>
      <c r="M56" s="2"/>
      <c r="N56" s="2"/>
      <c r="O56" s="2"/>
      <c r="P56" s="2"/>
    </row>
    <row r="57" spans="1:16" x14ac:dyDescent="0.2">
      <c r="A57" s="2"/>
      <c r="B57" s="2" t="s">
        <v>24</v>
      </c>
      <c r="C57" s="49">
        <f>D3</f>
        <v>0</v>
      </c>
      <c r="D57" s="49">
        <f>E3</f>
        <v>0</v>
      </c>
      <c r="E57" s="2"/>
      <c r="F57" s="2"/>
      <c r="G57" s="2"/>
      <c r="H57" s="6">
        <f>H46</f>
        <v>0</v>
      </c>
      <c r="I57" s="10">
        <f>I46</f>
        <v>0</v>
      </c>
      <c r="J57" s="2"/>
      <c r="K57" s="2"/>
      <c r="L57" s="2"/>
      <c r="M57" s="2"/>
      <c r="N57" s="2"/>
      <c r="O57" s="2"/>
      <c r="P57" s="2"/>
    </row>
    <row r="58" spans="1:16" ht="13.5" thickBot="1" x14ac:dyDescent="0.25">
      <c r="A58" s="2"/>
      <c r="B58" s="2"/>
      <c r="C58" s="49">
        <f>I23</f>
        <v>-12.855752193730787</v>
      </c>
      <c r="D58" s="49">
        <f>J23</f>
        <v>-15.32088886237956</v>
      </c>
      <c r="E58" s="2"/>
      <c r="F58" s="2"/>
      <c r="G58" s="2"/>
      <c r="H58" s="8">
        <f>H54*I60</f>
        <v>0</v>
      </c>
      <c r="I58" s="11">
        <f>I54*I60</f>
        <v>0</v>
      </c>
      <c r="J58" s="2"/>
      <c r="K58" s="2"/>
      <c r="L58" s="2"/>
      <c r="M58" s="2"/>
      <c r="N58" s="2"/>
      <c r="O58" s="2"/>
      <c r="P58" s="2"/>
    </row>
    <row r="59" spans="1:16" x14ac:dyDescent="0.2">
      <c r="A59" s="2"/>
      <c r="B59" s="2"/>
      <c r="C59" s="49">
        <f>I31</f>
        <v>487.60028725511717</v>
      </c>
      <c r="D59" s="49">
        <f>J31</f>
        <v>-27.317524116295573</v>
      </c>
      <c r="E59" s="2"/>
      <c r="F59" s="2"/>
      <c r="G59" s="2"/>
      <c r="H59" s="2"/>
      <c r="I59" s="2"/>
      <c r="J59" s="2"/>
      <c r="K59" s="2"/>
      <c r="L59" s="2"/>
      <c r="M59" s="2"/>
      <c r="N59" s="2"/>
      <c r="O59" s="2"/>
      <c r="P59" s="2"/>
    </row>
    <row r="60" spans="1:16" x14ac:dyDescent="0.2">
      <c r="A60" s="2"/>
      <c r="B60" s="2"/>
      <c r="C60" s="49">
        <f>D8</f>
        <v>500</v>
      </c>
      <c r="D60" s="49">
        <f>E8</f>
        <v>0</v>
      </c>
      <c r="E60" s="2"/>
      <c r="F60" s="2"/>
      <c r="G60" s="2"/>
      <c r="H60" s="2"/>
      <c r="I60" s="2">
        <f>IF(I61=TRUE,1,0)</f>
        <v>0</v>
      </c>
      <c r="J60" s="2"/>
      <c r="K60" s="2"/>
      <c r="L60" s="2"/>
      <c r="M60" s="2"/>
      <c r="N60" s="2"/>
      <c r="O60" s="2"/>
      <c r="P60" s="2"/>
    </row>
    <row r="61" spans="1:16" x14ac:dyDescent="0.2">
      <c r="A61" s="2"/>
      <c r="B61" s="2"/>
      <c r="C61" s="49">
        <f>I32</f>
        <v>563.24982503729552</v>
      </c>
      <c r="D61" s="49">
        <f>J32</f>
        <v>-29.990992526948784</v>
      </c>
      <c r="E61" s="2"/>
      <c r="F61" s="2"/>
      <c r="G61" s="2"/>
      <c r="H61" s="2"/>
      <c r="I61" s="2" t="b">
        <v>0</v>
      </c>
      <c r="J61" s="2"/>
      <c r="K61" s="2"/>
      <c r="L61" s="2"/>
      <c r="M61" s="2"/>
      <c r="N61" s="2"/>
      <c r="O61" s="2"/>
      <c r="P61" s="2"/>
    </row>
    <row r="62" spans="1:16" x14ac:dyDescent="0.2">
      <c r="A62" s="2"/>
      <c r="B62" s="2"/>
      <c r="C62" s="49">
        <f>D8</f>
        <v>500</v>
      </c>
      <c r="D62" s="49">
        <f>E8</f>
        <v>0</v>
      </c>
      <c r="E62" s="2"/>
      <c r="F62" s="2"/>
      <c r="G62" s="2"/>
      <c r="H62" s="2"/>
      <c r="I62" s="2"/>
      <c r="J62" s="2"/>
      <c r="K62" s="2"/>
      <c r="L62" s="2"/>
      <c r="M62" s="2"/>
      <c r="N62" s="2"/>
      <c r="O62" s="2"/>
      <c r="P62" s="2"/>
    </row>
    <row r="63" spans="1:16" x14ac:dyDescent="0.2">
      <c r="A63" s="2"/>
      <c r="B63" s="2"/>
      <c r="C63" s="49">
        <f>I30</f>
        <v>513.30328167398704</v>
      </c>
      <c r="D63" s="49">
        <f>J30</f>
        <v>26.889081365910585</v>
      </c>
      <c r="E63" s="2"/>
      <c r="F63" s="2"/>
      <c r="G63" s="2"/>
      <c r="H63" s="2"/>
      <c r="I63" s="2"/>
      <c r="J63" s="2"/>
      <c r="K63" s="2"/>
      <c r="L63" s="2"/>
      <c r="M63" s="2"/>
      <c r="N63" s="2"/>
      <c r="O63" s="2"/>
      <c r="P63" s="2"/>
    </row>
    <row r="64" spans="1:16" x14ac:dyDescent="0.2">
      <c r="A64" s="2"/>
      <c r="B64" s="2"/>
      <c r="C64" s="49">
        <f>I22</f>
        <v>12.855752193730787</v>
      </c>
      <c r="D64" s="49">
        <f>J22</f>
        <v>15.32088886237956</v>
      </c>
      <c r="E64" s="2"/>
      <c r="F64" s="2"/>
      <c r="G64" s="2"/>
      <c r="H64" s="2"/>
      <c r="I64" s="2"/>
      <c r="J64" s="2"/>
      <c r="K64" s="2"/>
      <c r="L64" s="2"/>
      <c r="M64" s="2"/>
      <c r="N64" s="2"/>
      <c r="O64" s="2"/>
      <c r="P64" s="2"/>
    </row>
    <row r="65" spans="1:16" x14ac:dyDescent="0.2">
      <c r="A65" s="2"/>
      <c r="B65" s="2"/>
      <c r="C65" s="49">
        <f>D3</f>
        <v>0</v>
      </c>
      <c r="D65" s="49">
        <f>E3</f>
        <v>0</v>
      </c>
      <c r="E65" s="2"/>
      <c r="F65" s="2"/>
      <c r="G65" s="2"/>
      <c r="H65" s="2"/>
      <c r="I65" s="2"/>
      <c r="J65" s="2"/>
      <c r="K65" s="2"/>
      <c r="L65" s="2"/>
      <c r="M65" s="2"/>
      <c r="N65" s="2"/>
      <c r="O65" s="2"/>
      <c r="P65" s="2"/>
    </row>
    <row r="66" spans="1:16" x14ac:dyDescent="0.2">
      <c r="A66" s="2"/>
      <c r="B66" s="2"/>
      <c r="C66" s="49"/>
      <c r="D66" s="49"/>
      <c r="E66" s="2"/>
      <c r="F66" s="2"/>
      <c r="G66" s="2"/>
      <c r="H66" s="2"/>
      <c r="I66" s="2"/>
      <c r="J66" s="2"/>
      <c r="K66" s="2"/>
      <c r="L66" s="2"/>
      <c r="M66" s="2"/>
      <c r="N66" s="2"/>
      <c r="O66" s="2"/>
      <c r="P66" s="2"/>
    </row>
    <row r="67" spans="1:16" x14ac:dyDescent="0.2">
      <c r="A67" s="2"/>
      <c r="B67" s="2"/>
      <c r="C67" s="54">
        <f>MIN(C39:C65)</f>
        <v>-12.855752193730787</v>
      </c>
      <c r="D67" s="54">
        <f>MIN(D39:D65)</f>
        <v>-29.995833043941285</v>
      </c>
      <c r="E67" s="2"/>
      <c r="F67" s="2"/>
      <c r="G67" s="2"/>
      <c r="H67" s="2"/>
      <c r="I67" s="2"/>
      <c r="J67" s="2"/>
      <c r="K67" s="2"/>
      <c r="L67" s="2"/>
      <c r="M67" s="2"/>
      <c r="N67" s="2"/>
      <c r="O67" s="2"/>
      <c r="P67" s="2"/>
    </row>
    <row r="68" spans="1:16" x14ac:dyDescent="0.2">
      <c r="A68" s="2"/>
      <c r="B68" s="2"/>
      <c r="C68" s="54">
        <f>MAX(C39:C65)</f>
        <v>570</v>
      </c>
      <c r="D68" s="54">
        <f>MAX(D39:D65)</f>
        <v>29.995833043941285</v>
      </c>
      <c r="E68" s="2"/>
      <c r="F68" s="2"/>
      <c r="G68" s="2"/>
      <c r="H68" s="2"/>
      <c r="I68" s="2"/>
      <c r="J68" s="2"/>
      <c r="K68" s="2"/>
      <c r="L68" s="2"/>
      <c r="M68" s="2"/>
      <c r="N68" s="2"/>
      <c r="O68" s="2"/>
      <c r="P68" s="2"/>
    </row>
    <row r="69" spans="1:16" x14ac:dyDescent="0.2">
      <c r="A69" s="2"/>
      <c r="B69" s="60" t="s">
        <v>146</v>
      </c>
      <c r="C69" s="56">
        <f>MAX(-D67,D68)*2.5*2</f>
        <v>149.97916521970643</v>
      </c>
      <c r="D69" s="57">
        <f>C68/2.5/2</f>
        <v>114</v>
      </c>
      <c r="E69" s="2"/>
      <c r="F69" s="2"/>
      <c r="G69" s="2"/>
      <c r="H69" s="2"/>
      <c r="I69" s="2"/>
      <c r="J69" s="2"/>
      <c r="K69" s="2"/>
      <c r="L69" s="2"/>
      <c r="M69" s="2"/>
      <c r="N69" s="2"/>
      <c r="O69" s="2"/>
      <c r="P69" s="2"/>
    </row>
    <row r="70" spans="1:16" x14ac:dyDescent="0.2">
      <c r="A70" s="2"/>
      <c r="B70" s="60" t="s">
        <v>146</v>
      </c>
      <c r="C70" s="58">
        <v>0</v>
      </c>
      <c r="D70" s="55">
        <f>-D69</f>
        <v>-114</v>
      </c>
      <c r="E70" s="2"/>
      <c r="F70" s="2"/>
      <c r="G70" s="2"/>
      <c r="H70" s="2"/>
      <c r="I70" s="2"/>
      <c r="J70" s="2"/>
      <c r="K70" s="2"/>
      <c r="L70" s="2"/>
      <c r="M70" s="2"/>
      <c r="N70" s="2"/>
      <c r="O70" s="2"/>
      <c r="P70" s="2"/>
    </row>
    <row r="71" spans="1:16" x14ac:dyDescent="0.2">
      <c r="A71" s="2"/>
      <c r="B71" s="2"/>
      <c r="C71" s="2"/>
      <c r="D71" s="2"/>
      <c r="E71" s="2"/>
      <c r="F71" s="2"/>
      <c r="G71" s="2"/>
      <c r="H71" s="2"/>
      <c r="I71" s="2"/>
      <c r="J71" s="2"/>
      <c r="K71" s="2"/>
      <c r="L71" s="2"/>
      <c r="M71" s="2"/>
      <c r="N71" s="2"/>
      <c r="O71" s="2"/>
      <c r="P71" s="2"/>
    </row>
    <row r="72" spans="1:16" x14ac:dyDescent="0.2">
      <c r="A72" s="2"/>
      <c r="B72" s="2"/>
      <c r="C72" s="2"/>
      <c r="D72" s="2"/>
      <c r="E72" s="2"/>
      <c r="F72" s="2"/>
      <c r="G72" s="2"/>
      <c r="H72" s="2"/>
      <c r="I72" s="2"/>
      <c r="J72" s="2"/>
      <c r="K72" s="2"/>
      <c r="L72" s="2"/>
      <c r="M72" s="2"/>
      <c r="N72" s="2"/>
      <c r="O72" s="2"/>
      <c r="P72" s="2"/>
    </row>
    <row r="73" spans="1:16" x14ac:dyDescent="0.2">
      <c r="A73" s="2"/>
      <c r="B73" s="2"/>
      <c r="C73" s="2"/>
      <c r="D73" s="2"/>
      <c r="E73" s="2"/>
      <c r="F73" s="2"/>
      <c r="G73" s="2"/>
      <c r="H73" s="2"/>
      <c r="I73" s="2"/>
      <c r="J73" s="2"/>
      <c r="K73" s="2"/>
      <c r="L73" s="2"/>
      <c r="M73" s="2"/>
      <c r="N73" s="2"/>
      <c r="O73" s="2"/>
      <c r="P73" s="2"/>
    </row>
    <row r="74" spans="1:16" x14ac:dyDescent="0.2">
      <c r="A74" s="2"/>
      <c r="B74" s="2"/>
      <c r="C74" s="2"/>
      <c r="D74" s="2"/>
      <c r="E74" s="2"/>
      <c r="F74" s="2"/>
      <c r="G74" s="2"/>
      <c r="H74" s="2"/>
      <c r="I74" s="2"/>
      <c r="J74" s="2"/>
      <c r="K74" s="2"/>
      <c r="L74" s="2"/>
      <c r="M74" s="2"/>
      <c r="N74" s="2"/>
      <c r="O74" s="2"/>
      <c r="P74" s="2"/>
    </row>
    <row r="75" spans="1:16" x14ac:dyDescent="0.2">
      <c r="A75" s="2"/>
      <c r="B75" s="2"/>
      <c r="C75" s="2"/>
      <c r="D75" s="2"/>
      <c r="E75" s="2"/>
      <c r="F75" s="2"/>
      <c r="G75" s="2"/>
      <c r="H75" s="2"/>
      <c r="I75" s="2"/>
      <c r="J75" s="2"/>
      <c r="K75" s="2"/>
      <c r="L75" s="2"/>
      <c r="M75" s="2"/>
      <c r="N75" s="2"/>
      <c r="O75" s="2"/>
      <c r="P75" s="2"/>
    </row>
    <row r="76" spans="1:16" x14ac:dyDescent="0.2">
      <c r="A76" s="2"/>
      <c r="B76" s="2"/>
      <c r="C76" s="2"/>
      <c r="D76" s="2"/>
      <c r="E76" s="2"/>
      <c r="F76" s="2"/>
      <c r="G76" s="2"/>
      <c r="H76" s="2"/>
      <c r="I76" s="2"/>
      <c r="J76" s="2"/>
      <c r="K76" s="2"/>
      <c r="L76" s="2"/>
      <c r="M76" s="2"/>
      <c r="N76" s="2"/>
      <c r="O76" s="2"/>
      <c r="P76" s="2"/>
    </row>
    <row r="77" spans="1:16" x14ac:dyDescent="0.2">
      <c r="A77" s="2"/>
      <c r="B77" s="2"/>
      <c r="C77" s="2"/>
      <c r="D77" s="2"/>
      <c r="E77" s="2"/>
      <c r="F77" s="2"/>
      <c r="G77" s="2"/>
      <c r="H77" s="2"/>
      <c r="I77" s="2"/>
      <c r="J77" s="2"/>
      <c r="K77" s="2"/>
      <c r="L77" s="2"/>
      <c r="M77" s="2"/>
      <c r="N77" s="2"/>
      <c r="O77" s="2"/>
      <c r="P77" s="2"/>
    </row>
    <row r="78" spans="1:16" x14ac:dyDescent="0.2">
      <c r="A78" s="2"/>
      <c r="B78" s="2"/>
      <c r="C78" s="2"/>
      <c r="D78" s="2"/>
      <c r="E78" s="2"/>
      <c r="F78" s="2"/>
      <c r="G78" s="2"/>
      <c r="H78" s="2"/>
      <c r="I78" s="2"/>
      <c r="J78" s="2"/>
      <c r="K78" s="2"/>
      <c r="L78" s="2"/>
      <c r="M78" s="2"/>
      <c r="N78" s="2"/>
      <c r="O78" s="2"/>
      <c r="P78" s="2"/>
    </row>
    <row r="79" spans="1:16" x14ac:dyDescent="0.2">
      <c r="A79" s="2"/>
      <c r="B79" s="2"/>
      <c r="C79" s="2"/>
      <c r="D79" s="2"/>
      <c r="E79" s="2"/>
      <c r="F79" s="2"/>
      <c r="G79" s="2"/>
      <c r="H79" s="2"/>
      <c r="I79" s="2"/>
      <c r="J79" s="2"/>
      <c r="K79" s="2"/>
      <c r="L79" s="2"/>
      <c r="M79" s="2"/>
      <c r="N79" s="2"/>
      <c r="O79" s="2"/>
      <c r="P79" s="2"/>
    </row>
    <row r="80" spans="1:16" x14ac:dyDescent="0.2">
      <c r="A80" s="2"/>
      <c r="B80" s="2"/>
      <c r="C80" s="2"/>
      <c r="D80" s="2"/>
      <c r="E80" s="2"/>
      <c r="F80" s="2"/>
      <c r="G80" s="2"/>
      <c r="H80" s="2"/>
      <c r="I80" s="2"/>
      <c r="J80" s="2"/>
      <c r="K80" s="2"/>
      <c r="L80" s="2"/>
      <c r="M80" s="2"/>
      <c r="N80" s="2"/>
      <c r="O80" s="2"/>
      <c r="P80" s="2"/>
    </row>
    <row r="81" spans="1:16" x14ac:dyDescent="0.2">
      <c r="A81" s="2"/>
      <c r="B81" s="2"/>
      <c r="C81" s="2"/>
      <c r="D81" s="2"/>
      <c r="E81" s="2"/>
      <c r="F81" s="2"/>
      <c r="G81" s="2"/>
      <c r="H81" s="2"/>
      <c r="I81" s="2"/>
      <c r="J81" s="2"/>
      <c r="K81" s="2"/>
      <c r="L81" s="2"/>
      <c r="M81" s="2"/>
      <c r="N81" s="2"/>
      <c r="O81" s="2"/>
      <c r="P81" s="2"/>
    </row>
    <row r="82" spans="1:16" x14ac:dyDescent="0.2">
      <c r="A82" s="2"/>
      <c r="B82" s="2"/>
      <c r="C82" s="2"/>
      <c r="D82" s="2"/>
      <c r="E82" s="2"/>
      <c r="F82" s="2"/>
      <c r="G82" s="2"/>
      <c r="H82" s="2"/>
      <c r="I82" s="2"/>
      <c r="J82" s="2"/>
      <c r="K82" s="2"/>
      <c r="L82" s="2"/>
      <c r="M82" s="2"/>
      <c r="N82" s="2"/>
      <c r="O82" s="2"/>
      <c r="P82" s="2"/>
    </row>
    <row r="83" spans="1:16" x14ac:dyDescent="0.2">
      <c r="A83" s="2"/>
      <c r="B83" s="2"/>
      <c r="C83" s="2"/>
      <c r="D83" s="2"/>
      <c r="E83" s="2"/>
      <c r="F83" s="2"/>
      <c r="G83" s="2"/>
      <c r="H83" s="2"/>
      <c r="I83" s="2"/>
      <c r="J83" s="2"/>
      <c r="K83" s="2"/>
      <c r="L83" s="2"/>
      <c r="M83" s="2"/>
      <c r="N83" s="2"/>
      <c r="O83" s="2"/>
      <c r="P83" s="2"/>
    </row>
    <row r="84" spans="1:16" x14ac:dyDescent="0.2">
      <c r="A84" s="2"/>
      <c r="B84" s="2"/>
      <c r="C84" s="2"/>
      <c r="D84" s="2"/>
      <c r="E84" s="2"/>
      <c r="F84" s="2"/>
      <c r="G84" s="2"/>
      <c r="H84" s="2"/>
      <c r="I84" s="2"/>
      <c r="J84" s="2"/>
      <c r="K84" s="2"/>
      <c r="L84" s="2"/>
      <c r="M84" s="2"/>
      <c r="N84" s="2"/>
      <c r="O84" s="2"/>
      <c r="P84" s="2"/>
    </row>
    <row r="85" spans="1:16" x14ac:dyDescent="0.2">
      <c r="A85" s="2"/>
      <c r="B85" s="2"/>
      <c r="C85" s="2"/>
      <c r="D85" s="2"/>
      <c r="E85" s="2"/>
      <c r="F85" s="2"/>
      <c r="G85" s="2"/>
      <c r="H85" s="2"/>
      <c r="I85" s="2"/>
      <c r="J85" s="2"/>
      <c r="K85" s="2"/>
      <c r="L85" s="2"/>
      <c r="M85" s="2"/>
      <c r="N85" s="2"/>
      <c r="O85" s="2"/>
      <c r="P85" s="2"/>
    </row>
    <row r="86" spans="1:16" x14ac:dyDescent="0.2">
      <c r="A86" s="2"/>
      <c r="B86" s="2"/>
      <c r="C86" s="2"/>
      <c r="D86" s="2"/>
      <c r="E86" s="2"/>
      <c r="F86" s="2"/>
      <c r="G86" s="2"/>
      <c r="H86" s="2"/>
      <c r="I86" s="2"/>
      <c r="J86" s="2"/>
      <c r="K86" s="2"/>
      <c r="L86" s="2"/>
      <c r="M86" s="2"/>
      <c r="N86" s="2"/>
      <c r="O86" s="2"/>
      <c r="P86" s="2"/>
    </row>
    <row r="87" spans="1:16" x14ac:dyDescent="0.2">
      <c r="A87" s="2"/>
      <c r="B87" s="2"/>
      <c r="C87" s="2"/>
      <c r="D87" s="2"/>
      <c r="E87" s="2"/>
      <c r="F87" s="2"/>
      <c r="G87" s="2"/>
      <c r="H87" s="2"/>
      <c r="I87" s="2"/>
      <c r="J87" s="2"/>
      <c r="K87" s="2"/>
      <c r="L87" s="2"/>
      <c r="M87" s="2"/>
      <c r="N87" s="2"/>
      <c r="O87" s="2"/>
      <c r="P87" s="2"/>
    </row>
    <row r="88" spans="1:16" x14ac:dyDescent="0.2">
      <c r="A88" s="2"/>
      <c r="B88" s="2"/>
      <c r="C88" s="2"/>
      <c r="D88" s="2"/>
      <c r="E88" s="2"/>
      <c r="F88" s="2"/>
      <c r="G88" s="2"/>
      <c r="H88" s="2"/>
      <c r="I88" s="2"/>
      <c r="J88" s="2"/>
      <c r="K88" s="2"/>
      <c r="L88" s="2"/>
      <c r="M88" s="2"/>
      <c r="N88" s="2"/>
      <c r="O88" s="2"/>
      <c r="P88" s="2"/>
    </row>
    <row r="89" spans="1:16" x14ac:dyDescent="0.2">
      <c r="A89" s="2"/>
      <c r="B89" s="2"/>
      <c r="C89" s="2"/>
      <c r="D89" s="2"/>
      <c r="E89" s="2"/>
      <c r="F89" s="2"/>
      <c r="G89" s="2"/>
      <c r="H89" s="2"/>
      <c r="I89" s="2"/>
      <c r="J89" s="2"/>
      <c r="K89" s="2"/>
      <c r="L89" s="2"/>
      <c r="M89" s="2"/>
      <c r="N89" s="2"/>
      <c r="O89" s="2"/>
      <c r="P89" s="2"/>
    </row>
    <row r="90" spans="1:16" x14ac:dyDescent="0.2">
      <c r="A90" s="2"/>
      <c r="B90" s="2"/>
      <c r="C90" s="2"/>
      <c r="D90" s="2"/>
      <c r="E90" s="2"/>
      <c r="F90" s="2"/>
      <c r="G90" s="2"/>
      <c r="H90" s="2"/>
      <c r="I90" s="2"/>
      <c r="J90" s="2"/>
      <c r="K90" s="2"/>
      <c r="L90" s="2"/>
      <c r="M90" s="2"/>
      <c r="N90" s="2"/>
      <c r="O90" s="2"/>
      <c r="P90" s="2"/>
    </row>
    <row r="91" spans="1:16" x14ac:dyDescent="0.2">
      <c r="A91" s="2"/>
      <c r="B91" s="2"/>
      <c r="C91" s="2"/>
      <c r="D91" s="2"/>
      <c r="E91" s="2"/>
      <c r="F91" s="2"/>
      <c r="G91" s="2"/>
      <c r="H91" s="2"/>
      <c r="I91" s="2"/>
      <c r="J91" s="2"/>
      <c r="K91" s="2"/>
      <c r="L91" s="2"/>
      <c r="M91" s="2"/>
      <c r="N91" s="2"/>
      <c r="O91" s="2"/>
      <c r="P91" s="2"/>
    </row>
    <row r="92" spans="1:16" x14ac:dyDescent="0.2">
      <c r="A92" s="2"/>
      <c r="B92" s="2"/>
      <c r="C92" s="2"/>
      <c r="D92" s="2"/>
      <c r="E92" s="2"/>
      <c r="F92" s="2"/>
      <c r="G92" s="2"/>
      <c r="H92" s="2"/>
      <c r="I92" s="2"/>
      <c r="J92" s="2"/>
      <c r="K92" s="2"/>
      <c r="L92" s="2"/>
      <c r="M92" s="2"/>
      <c r="N92" s="2"/>
      <c r="O92" s="2"/>
      <c r="P92" s="2"/>
    </row>
    <row r="93" spans="1:16" x14ac:dyDescent="0.2">
      <c r="A93" s="2"/>
      <c r="B93" s="2"/>
      <c r="C93" s="2"/>
      <c r="D93" s="2"/>
      <c r="E93" s="2"/>
      <c r="F93" s="2"/>
      <c r="G93" s="2"/>
      <c r="H93" s="2"/>
      <c r="I93" s="2"/>
      <c r="J93" s="2"/>
      <c r="K93" s="2"/>
      <c r="L93" s="2"/>
      <c r="M93" s="2"/>
      <c r="N93" s="2"/>
      <c r="O93" s="2"/>
      <c r="P93" s="2"/>
    </row>
    <row r="94" spans="1:16" x14ac:dyDescent="0.2">
      <c r="A94" s="2"/>
      <c r="B94" s="2"/>
      <c r="C94" s="2"/>
      <c r="D94" s="2"/>
      <c r="E94" s="2"/>
      <c r="F94" s="2"/>
      <c r="G94" s="2"/>
      <c r="H94" s="2"/>
      <c r="I94" s="2"/>
      <c r="J94" s="2"/>
      <c r="K94" s="2"/>
      <c r="L94" s="2"/>
      <c r="M94" s="2"/>
      <c r="N94" s="2"/>
      <c r="O94" s="2"/>
      <c r="P94" s="2"/>
    </row>
    <row r="95" spans="1:16" x14ac:dyDescent="0.2">
      <c r="A95" s="2"/>
      <c r="B95" s="2"/>
      <c r="C95" s="2"/>
      <c r="D95" s="2"/>
      <c r="E95" s="2"/>
      <c r="F95" s="2"/>
      <c r="G95" s="2"/>
      <c r="H95" s="2"/>
      <c r="I95" s="2"/>
      <c r="J95" s="2"/>
      <c r="K95" s="2"/>
      <c r="L95" s="2"/>
      <c r="M95" s="2"/>
      <c r="N95" s="2"/>
      <c r="O95" s="2"/>
      <c r="P95" s="2"/>
    </row>
    <row r="96" spans="1:16" x14ac:dyDescent="0.2">
      <c r="A96" s="2"/>
      <c r="B96" s="2"/>
      <c r="C96" s="2"/>
      <c r="D96" s="2"/>
      <c r="E96" s="2"/>
      <c r="F96" s="2"/>
      <c r="G96" s="2"/>
      <c r="H96" s="2"/>
      <c r="I96" s="2"/>
      <c r="J96" s="2"/>
      <c r="K96" s="2"/>
      <c r="L96" s="2"/>
      <c r="M96" s="2"/>
      <c r="N96" s="2"/>
      <c r="O96" s="2"/>
      <c r="P96" s="2"/>
    </row>
    <row r="97" spans="1:16" x14ac:dyDescent="0.2">
      <c r="A97" s="2"/>
      <c r="B97" s="2"/>
      <c r="C97" s="2"/>
      <c r="D97" s="2"/>
      <c r="E97" s="2"/>
      <c r="F97" s="2"/>
      <c r="G97" s="2"/>
      <c r="H97" s="2"/>
      <c r="I97" s="2"/>
      <c r="J97" s="2"/>
      <c r="K97" s="2"/>
      <c r="L97" s="2"/>
      <c r="M97" s="2"/>
      <c r="N97" s="2"/>
      <c r="O97" s="2"/>
      <c r="P97" s="2"/>
    </row>
    <row r="98" spans="1:16" x14ac:dyDescent="0.2">
      <c r="A98" s="2"/>
      <c r="B98" s="2"/>
      <c r="C98" s="2"/>
      <c r="D98" s="2"/>
      <c r="E98" s="2"/>
      <c r="F98" s="2"/>
      <c r="G98" s="2"/>
      <c r="H98" s="2"/>
      <c r="I98" s="2"/>
      <c r="J98" s="2"/>
      <c r="K98" s="2"/>
      <c r="L98" s="2"/>
      <c r="M98" s="2"/>
      <c r="N98" s="2"/>
      <c r="O98" s="2"/>
      <c r="P98" s="2"/>
    </row>
    <row r="99" spans="1:16" x14ac:dyDescent="0.2">
      <c r="A99" s="2"/>
      <c r="B99" s="2"/>
      <c r="C99" s="2"/>
      <c r="D99" s="2"/>
      <c r="E99" s="2"/>
      <c r="F99" s="2"/>
      <c r="G99" s="2"/>
      <c r="H99" s="2"/>
      <c r="I99" s="2"/>
      <c r="J99" s="2"/>
      <c r="K99" s="2"/>
      <c r="L99" s="2"/>
      <c r="M99" s="2"/>
      <c r="N99" s="2"/>
      <c r="O99" s="2"/>
      <c r="P99" s="2"/>
    </row>
    <row r="100" spans="1:16" x14ac:dyDescent="0.2">
      <c r="A100" s="2"/>
      <c r="B100" s="2"/>
      <c r="C100" s="2"/>
      <c r="D100" s="2"/>
      <c r="E100" s="2"/>
      <c r="F100" s="2"/>
      <c r="G100" s="2"/>
      <c r="H100" s="2"/>
      <c r="I100" s="2"/>
      <c r="J100" s="2"/>
      <c r="K100" s="2"/>
      <c r="L100" s="2"/>
      <c r="M100" s="2"/>
      <c r="N100" s="2"/>
      <c r="O100" s="2"/>
      <c r="P100" s="2"/>
    </row>
    <row r="101" spans="1:16" x14ac:dyDescent="0.2">
      <c r="A101" s="2"/>
      <c r="B101" s="2"/>
      <c r="C101" s="2"/>
      <c r="D101" s="2"/>
      <c r="E101" s="2"/>
      <c r="F101" s="2"/>
      <c r="G101" s="2"/>
      <c r="H101" s="2"/>
      <c r="I101" s="2"/>
      <c r="J101" s="2"/>
      <c r="K101" s="2"/>
      <c r="L101" s="2"/>
      <c r="M101" s="2"/>
      <c r="N101" s="2"/>
      <c r="O101" s="2"/>
      <c r="P101" s="2"/>
    </row>
    <row r="102" spans="1:16" x14ac:dyDescent="0.2">
      <c r="A102" s="2"/>
      <c r="B102" s="2"/>
      <c r="C102" s="2"/>
      <c r="D102" s="2"/>
      <c r="E102" s="2"/>
      <c r="F102" s="2"/>
      <c r="G102" s="2"/>
      <c r="H102" s="2"/>
      <c r="I102" s="2"/>
      <c r="J102" s="2"/>
      <c r="K102" s="2"/>
      <c r="L102" s="2"/>
      <c r="M102" s="2"/>
      <c r="N102" s="2"/>
      <c r="O102" s="2"/>
      <c r="P102" s="2"/>
    </row>
    <row r="103" spans="1:16" x14ac:dyDescent="0.2">
      <c r="A103" s="2"/>
      <c r="B103" s="2"/>
      <c r="C103" s="2"/>
      <c r="D103" s="2"/>
      <c r="E103" s="2"/>
      <c r="F103" s="2"/>
      <c r="G103" s="2"/>
      <c r="H103" s="2"/>
      <c r="I103" s="2"/>
      <c r="J103" s="2"/>
      <c r="K103" s="2"/>
      <c r="L103" s="2"/>
      <c r="M103" s="2"/>
      <c r="N103" s="2"/>
      <c r="O103" s="2"/>
      <c r="P103" s="2"/>
    </row>
    <row r="104" spans="1:16" x14ac:dyDescent="0.2">
      <c r="A104" s="2"/>
      <c r="B104" s="2"/>
      <c r="C104" s="2"/>
      <c r="D104" s="2"/>
      <c r="E104" s="2"/>
      <c r="F104" s="2"/>
      <c r="G104" s="2"/>
      <c r="H104" s="2"/>
      <c r="I104" s="2"/>
      <c r="J104" s="2"/>
      <c r="K104" s="2"/>
      <c r="L104" s="2"/>
      <c r="M104" s="2"/>
      <c r="N104" s="2"/>
      <c r="O104" s="2"/>
      <c r="P104" s="2"/>
    </row>
    <row r="105" spans="1:16" x14ac:dyDescent="0.2">
      <c r="A105" s="2"/>
      <c r="B105" s="2"/>
      <c r="C105" s="2"/>
      <c r="D105" s="2"/>
      <c r="E105" s="2"/>
      <c r="F105" s="2"/>
      <c r="G105" s="2"/>
      <c r="H105" s="2"/>
      <c r="I105" s="2"/>
      <c r="J105" s="2"/>
      <c r="K105" s="2"/>
      <c r="L105" s="2"/>
      <c r="M105" s="2"/>
      <c r="N105" s="2"/>
      <c r="O105" s="2"/>
      <c r="P105" s="2"/>
    </row>
    <row r="106" spans="1:16" x14ac:dyDescent="0.2">
      <c r="A106" s="2"/>
      <c r="B106" s="2"/>
      <c r="C106" s="2"/>
      <c r="D106" s="2"/>
      <c r="E106" s="2"/>
      <c r="F106" s="2"/>
      <c r="G106" s="2"/>
      <c r="H106" s="2"/>
      <c r="I106" s="2"/>
      <c r="J106" s="2"/>
      <c r="K106" s="2"/>
      <c r="L106" s="2"/>
      <c r="M106" s="2"/>
      <c r="N106" s="2"/>
      <c r="O106" s="2"/>
      <c r="P106" s="2"/>
    </row>
    <row r="107" spans="1:16" x14ac:dyDescent="0.2">
      <c r="A107" s="2"/>
      <c r="B107" s="2"/>
      <c r="C107" s="2"/>
      <c r="D107" s="2"/>
      <c r="E107" s="2"/>
      <c r="F107" s="2"/>
      <c r="G107" s="2"/>
      <c r="H107" s="2"/>
      <c r="I107" s="2"/>
      <c r="J107" s="2"/>
      <c r="K107" s="2"/>
      <c r="L107" s="2"/>
      <c r="M107" s="2"/>
      <c r="N107" s="2"/>
      <c r="O107" s="2"/>
      <c r="P107" s="2"/>
    </row>
    <row r="108" spans="1:16" x14ac:dyDescent="0.2">
      <c r="A108" s="2"/>
      <c r="B108" s="2"/>
      <c r="C108" s="2"/>
      <c r="D108" s="2"/>
      <c r="E108" s="2"/>
      <c r="F108" s="2"/>
      <c r="G108" s="2"/>
      <c r="H108" s="2"/>
      <c r="I108" s="2"/>
      <c r="J108" s="2"/>
      <c r="K108" s="2"/>
      <c r="L108" s="2"/>
      <c r="M108" s="2"/>
      <c r="N108" s="2"/>
      <c r="O108" s="2"/>
      <c r="P108" s="2"/>
    </row>
    <row r="109" spans="1:16" x14ac:dyDescent="0.2">
      <c r="A109" s="2"/>
      <c r="B109" s="2"/>
      <c r="C109" s="2"/>
      <c r="D109" s="2"/>
      <c r="E109" s="2"/>
      <c r="F109" s="2"/>
      <c r="G109" s="2"/>
      <c r="H109" s="2"/>
      <c r="I109" s="2"/>
      <c r="J109" s="2"/>
      <c r="K109" s="2"/>
      <c r="L109" s="2"/>
      <c r="M109" s="2"/>
      <c r="N109" s="2"/>
      <c r="O109" s="2"/>
      <c r="P109" s="2"/>
    </row>
    <row r="110" spans="1:16" x14ac:dyDescent="0.2">
      <c r="A110" s="2"/>
      <c r="B110" s="2"/>
      <c r="C110" s="2"/>
      <c r="D110" s="2"/>
      <c r="E110" s="2"/>
      <c r="F110" s="2"/>
      <c r="G110" s="2"/>
      <c r="H110" s="2"/>
      <c r="I110" s="2"/>
      <c r="J110" s="2"/>
      <c r="K110" s="2"/>
      <c r="L110" s="2"/>
      <c r="M110" s="2"/>
      <c r="N110" s="2"/>
      <c r="O110" s="2"/>
      <c r="P110" s="2"/>
    </row>
    <row r="111" spans="1:16" x14ac:dyDescent="0.2">
      <c r="A111" s="2"/>
      <c r="B111" s="2"/>
      <c r="C111" s="2"/>
      <c r="D111" s="2"/>
      <c r="E111" s="2"/>
      <c r="F111" s="2"/>
      <c r="G111" s="2"/>
      <c r="H111" s="2"/>
      <c r="I111" s="2"/>
      <c r="J111" s="2"/>
      <c r="K111" s="2"/>
      <c r="L111" s="2"/>
      <c r="M111" s="2"/>
      <c r="N111" s="2"/>
      <c r="O111" s="2"/>
      <c r="P111" s="2"/>
    </row>
    <row r="112" spans="1:16" x14ac:dyDescent="0.2">
      <c r="A112" s="2"/>
      <c r="B112" s="2"/>
      <c r="C112" s="2"/>
      <c r="D112" s="2"/>
      <c r="E112" s="2"/>
      <c r="F112" s="2"/>
      <c r="G112" s="2"/>
      <c r="H112" s="2"/>
      <c r="I112" s="2"/>
      <c r="J112" s="2"/>
      <c r="K112" s="2"/>
      <c r="L112" s="2"/>
      <c r="M112" s="2"/>
      <c r="N112" s="2"/>
      <c r="O112" s="2"/>
      <c r="P112" s="2"/>
    </row>
    <row r="113" spans="1:16" x14ac:dyDescent="0.2">
      <c r="A113" s="2"/>
      <c r="B113" s="2"/>
      <c r="C113" s="2"/>
      <c r="D113" s="2"/>
      <c r="E113" s="2"/>
      <c r="F113" s="2"/>
      <c r="G113" s="2"/>
      <c r="H113" s="2"/>
      <c r="I113" s="2"/>
      <c r="J113" s="2"/>
      <c r="K113" s="2"/>
      <c r="L113" s="2"/>
      <c r="M113" s="2"/>
      <c r="N113" s="2"/>
      <c r="O113" s="2"/>
      <c r="P113" s="2"/>
    </row>
    <row r="114" spans="1:16" x14ac:dyDescent="0.2">
      <c r="A114" s="2"/>
      <c r="B114" s="2"/>
      <c r="C114" s="2"/>
      <c r="D114" s="2"/>
      <c r="E114" s="2"/>
      <c r="F114" s="2"/>
      <c r="G114" s="2"/>
      <c r="H114" s="2"/>
      <c r="I114" s="2"/>
      <c r="J114" s="2"/>
      <c r="K114" s="2"/>
      <c r="L114" s="2"/>
      <c r="M114" s="2"/>
      <c r="N114" s="2"/>
      <c r="O114" s="2"/>
      <c r="P114" s="2"/>
    </row>
    <row r="115" spans="1:16" x14ac:dyDescent="0.2">
      <c r="A115" s="2"/>
      <c r="B115" s="2"/>
      <c r="C115" s="2"/>
      <c r="D115" s="2"/>
      <c r="E115" s="2"/>
      <c r="F115" s="2"/>
      <c r="G115" s="2"/>
      <c r="H115" s="2"/>
      <c r="I115" s="2"/>
      <c r="J115" s="2"/>
      <c r="K115" s="2"/>
      <c r="L115" s="2"/>
      <c r="M115" s="2"/>
      <c r="N115" s="2"/>
      <c r="O115" s="2"/>
      <c r="P115" s="2"/>
    </row>
    <row r="116" spans="1:16" x14ac:dyDescent="0.2">
      <c r="A116" s="2"/>
      <c r="B116" s="2"/>
      <c r="C116" s="2"/>
      <c r="D116" s="2"/>
      <c r="E116" s="2"/>
      <c r="F116" s="2"/>
      <c r="G116" s="2"/>
      <c r="H116" s="2"/>
      <c r="I116" s="2"/>
      <c r="J116" s="2"/>
      <c r="K116" s="2"/>
      <c r="L116" s="2"/>
      <c r="M116" s="2"/>
      <c r="N116" s="2"/>
      <c r="O116" s="2"/>
      <c r="P116" s="2"/>
    </row>
    <row r="117" spans="1:16" x14ac:dyDescent="0.2">
      <c r="A117" s="2"/>
      <c r="B117" s="2"/>
      <c r="C117" s="2"/>
      <c r="D117" s="2"/>
      <c r="E117" s="2"/>
      <c r="F117" s="2"/>
      <c r="G117" s="2"/>
      <c r="H117" s="2"/>
      <c r="I117" s="2"/>
      <c r="J117" s="2"/>
      <c r="K117" s="2"/>
      <c r="L117" s="2"/>
      <c r="M117" s="2"/>
      <c r="N117" s="2"/>
      <c r="O117" s="2"/>
      <c r="P117" s="2"/>
    </row>
    <row r="118" spans="1:16" x14ac:dyDescent="0.2">
      <c r="A118" s="2"/>
      <c r="B118" s="2"/>
      <c r="C118" s="2"/>
      <c r="D118" s="2"/>
      <c r="E118" s="2"/>
      <c r="F118" s="2"/>
      <c r="G118" s="2"/>
      <c r="H118" s="2"/>
      <c r="I118" s="2"/>
      <c r="J118" s="2"/>
      <c r="K118" s="2"/>
      <c r="L118" s="2"/>
      <c r="M118" s="2"/>
      <c r="N118" s="2"/>
      <c r="O118" s="2"/>
      <c r="P118" s="2"/>
    </row>
    <row r="119" spans="1:16" x14ac:dyDescent="0.2">
      <c r="A119" s="2"/>
      <c r="B119" s="2"/>
      <c r="C119" s="2"/>
      <c r="D119" s="2"/>
      <c r="E119" s="2"/>
      <c r="F119" s="2"/>
      <c r="G119" s="2"/>
      <c r="H119" s="2"/>
      <c r="I119" s="2"/>
      <c r="J119" s="2"/>
      <c r="K119" s="2"/>
      <c r="L119" s="2"/>
      <c r="M119" s="2"/>
      <c r="N119" s="2"/>
      <c r="O119" s="2"/>
      <c r="P119" s="2"/>
    </row>
    <row r="120" spans="1:16" x14ac:dyDescent="0.2">
      <c r="A120" s="2"/>
      <c r="B120" s="2"/>
      <c r="C120" s="2"/>
      <c r="D120" s="2"/>
      <c r="E120" s="2"/>
      <c r="F120" s="2"/>
      <c r="G120" s="2"/>
      <c r="H120" s="2"/>
      <c r="I120" s="2"/>
      <c r="J120" s="2"/>
      <c r="K120" s="2"/>
      <c r="L120" s="2"/>
      <c r="M120" s="2"/>
      <c r="N120" s="2"/>
      <c r="O120" s="2"/>
      <c r="P120" s="2"/>
    </row>
    <row r="121" spans="1:16" x14ac:dyDescent="0.2">
      <c r="A121" s="2"/>
      <c r="B121" s="2"/>
      <c r="C121" s="2"/>
      <c r="D121" s="2"/>
      <c r="E121" s="2"/>
      <c r="F121" s="2"/>
      <c r="G121" s="2"/>
      <c r="H121" s="2"/>
      <c r="I121" s="2"/>
      <c r="J121" s="2"/>
      <c r="K121" s="2"/>
      <c r="L121" s="2"/>
      <c r="M121" s="2"/>
      <c r="N121" s="2"/>
      <c r="O121" s="2"/>
      <c r="P121" s="2"/>
    </row>
    <row r="122" spans="1:16" x14ac:dyDescent="0.2">
      <c r="A122" s="2"/>
      <c r="B122" s="2"/>
      <c r="C122" s="2"/>
      <c r="D122" s="2"/>
      <c r="E122" s="2"/>
      <c r="F122" s="2"/>
      <c r="G122" s="2"/>
      <c r="H122" s="2"/>
      <c r="I122" s="2"/>
      <c r="J122" s="2"/>
      <c r="K122" s="2"/>
      <c r="L122" s="2"/>
      <c r="M122" s="2"/>
      <c r="N122" s="2"/>
      <c r="O122" s="2"/>
      <c r="P122" s="2"/>
    </row>
    <row r="123" spans="1:16" x14ac:dyDescent="0.2">
      <c r="A123" s="2"/>
      <c r="B123" s="2"/>
      <c r="C123" s="2"/>
      <c r="D123" s="2"/>
      <c r="E123" s="2"/>
      <c r="F123" s="2"/>
      <c r="G123" s="2"/>
      <c r="H123" s="2"/>
      <c r="I123" s="2"/>
      <c r="J123" s="2"/>
      <c r="K123" s="2"/>
      <c r="L123" s="2"/>
      <c r="M123" s="2"/>
      <c r="N123" s="2"/>
      <c r="O123" s="2"/>
      <c r="P123" s="2"/>
    </row>
    <row r="124" spans="1:16" x14ac:dyDescent="0.2">
      <c r="A124" s="2"/>
      <c r="B124" s="2"/>
      <c r="C124" s="2"/>
      <c r="D124" s="2"/>
      <c r="E124" s="2"/>
      <c r="F124" s="2"/>
      <c r="G124" s="2"/>
      <c r="H124" s="2"/>
      <c r="I124" s="2"/>
      <c r="J124" s="2"/>
      <c r="K124" s="2"/>
      <c r="L124" s="2"/>
      <c r="M124" s="2"/>
      <c r="N124" s="2"/>
      <c r="O124" s="2"/>
      <c r="P124" s="2"/>
    </row>
    <row r="125" spans="1:16" x14ac:dyDescent="0.2">
      <c r="A125" s="2"/>
      <c r="B125" s="2"/>
      <c r="C125" s="2"/>
      <c r="D125" s="2"/>
      <c r="E125" s="2"/>
      <c r="F125" s="2"/>
      <c r="G125" s="2"/>
      <c r="H125" s="2"/>
      <c r="I125" s="2"/>
      <c r="J125" s="2"/>
      <c r="K125" s="2"/>
      <c r="L125" s="2"/>
      <c r="M125" s="2"/>
      <c r="N125" s="2"/>
      <c r="O125" s="2"/>
      <c r="P125" s="2"/>
    </row>
    <row r="126" spans="1:16" x14ac:dyDescent="0.2">
      <c r="A126" s="2"/>
      <c r="B126" s="2"/>
      <c r="C126" s="2"/>
      <c r="D126" s="2"/>
      <c r="E126" s="2"/>
      <c r="F126" s="2"/>
      <c r="G126" s="2"/>
      <c r="H126" s="2"/>
      <c r="I126" s="2"/>
      <c r="J126" s="2"/>
      <c r="K126" s="2"/>
      <c r="L126" s="2"/>
      <c r="M126" s="2"/>
      <c r="N126" s="2"/>
      <c r="O126" s="2"/>
      <c r="P126" s="2"/>
    </row>
    <row r="127" spans="1:16" x14ac:dyDescent="0.2">
      <c r="A127" s="2"/>
      <c r="B127" s="2"/>
      <c r="C127" s="2"/>
      <c r="D127" s="2"/>
      <c r="E127" s="2"/>
      <c r="F127" s="2"/>
      <c r="G127" s="2"/>
      <c r="H127" s="2"/>
      <c r="I127" s="2"/>
      <c r="J127" s="2"/>
      <c r="K127" s="2"/>
      <c r="L127" s="2"/>
      <c r="M127" s="2"/>
      <c r="N127" s="2"/>
      <c r="O127" s="2"/>
      <c r="P127" s="2"/>
    </row>
    <row r="128" spans="1:16" x14ac:dyDescent="0.2">
      <c r="A128" s="2"/>
      <c r="B128" s="2"/>
      <c r="C128" s="2"/>
      <c r="D128" s="2"/>
      <c r="E128" s="2"/>
      <c r="F128" s="2"/>
      <c r="G128" s="2"/>
      <c r="H128" s="2"/>
      <c r="I128" s="2"/>
      <c r="J128" s="2"/>
      <c r="K128" s="2"/>
      <c r="L128" s="2"/>
      <c r="M128" s="2"/>
      <c r="N128" s="2"/>
      <c r="O128" s="2"/>
      <c r="P128" s="2"/>
    </row>
    <row r="129" spans="1:16" x14ac:dyDescent="0.2">
      <c r="A129" s="2"/>
      <c r="B129" s="2"/>
      <c r="C129" s="2"/>
      <c r="D129" s="2"/>
      <c r="E129" s="2"/>
      <c r="F129" s="2"/>
      <c r="G129" s="2"/>
      <c r="H129" s="2"/>
      <c r="I129" s="2"/>
      <c r="J129" s="2"/>
      <c r="K129" s="2"/>
      <c r="L129" s="2"/>
      <c r="M129" s="2"/>
      <c r="N129" s="2"/>
      <c r="O129" s="2"/>
      <c r="P129" s="2"/>
    </row>
    <row r="130" spans="1:16" x14ac:dyDescent="0.2">
      <c r="A130" s="2"/>
      <c r="B130" s="2"/>
      <c r="C130" s="2"/>
      <c r="D130" s="2"/>
      <c r="E130" s="2"/>
      <c r="F130" s="2"/>
      <c r="G130" s="2"/>
      <c r="H130" s="2"/>
      <c r="I130" s="2"/>
      <c r="J130" s="2"/>
      <c r="K130" s="2"/>
      <c r="L130" s="2"/>
      <c r="M130" s="2"/>
      <c r="N130" s="2"/>
      <c r="O130" s="2"/>
      <c r="P130" s="2"/>
    </row>
    <row r="131" spans="1:16" x14ac:dyDescent="0.2">
      <c r="A131" s="2"/>
      <c r="B131" s="2"/>
      <c r="C131" s="2"/>
      <c r="D131" s="2"/>
      <c r="E131" s="2"/>
      <c r="F131" s="2"/>
      <c r="G131" s="2"/>
      <c r="H131" s="2"/>
      <c r="I131" s="2"/>
      <c r="J131" s="2"/>
      <c r="K131" s="2"/>
      <c r="L131" s="2"/>
      <c r="M131" s="2"/>
      <c r="N131" s="2"/>
      <c r="O131" s="2"/>
      <c r="P131" s="2"/>
    </row>
    <row r="132" spans="1:16" x14ac:dyDescent="0.2">
      <c r="A132" s="2"/>
      <c r="B132" s="2"/>
      <c r="C132" s="2"/>
      <c r="D132" s="2"/>
      <c r="E132" s="2"/>
      <c r="F132" s="2"/>
      <c r="G132" s="2"/>
      <c r="H132" s="2"/>
      <c r="I132" s="2"/>
      <c r="J132" s="2"/>
      <c r="K132" s="2"/>
      <c r="L132" s="2"/>
      <c r="M132" s="2"/>
      <c r="N132" s="2"/>
      <c r="O132" s="2"/>
      <c r="P132" s="2"/>
    </row>
    <row r="133" spans="1:16" x14ac:dyDescent="0.2">
      <c r="A133" s="2"/>
      <c r="B133" s="2"/>
      <c r="C133" s="2"/>
      <c r="D133" s="2"/>
      <c r="E133" s="2"/>
      <c r="F133" s="2"/>
      <c r="G133" s="2"/>
      <c r="H133" s="2"/>
      <c r="I133" s="2"/>
      <c r="J133" s="2"/>
      <c r="K133" s="2"/>
      <c r="L133" s="2"/>
      <c r="M133" s="2"/>
      <c r="N133" s="2"/>
      <c r="O133" s="2"/>
      <c r="P133" s="2"/>
    </row>
    <row r="134" spans="1:16" x14ac:dyDescent="0.2">
      <c r="A134" s="2"/>
      <c r="B134" s="2"/>
      <c r="C134" s="2"/>
      <c r="D134" s="2"/>
      <c r="E134" s="2"/>
      <c r="F134" s="2"/>
      <c r="G134" s="2"/>
      <c r="H134" s="2"/>
      <c r="I134" s="2"/>
      <c r="J134" s="2"/>
      <c r="K134" s="2"/>
      <c r="L134" s="2"/>
      <c r="M134" s="2"/>
      <c r="N134" s="2"/>
      <c r="O134" s="2"/>
      <c r="P134" s="2"/>
    </row>
    <row r="135" spans="1:16" x14ac:dyDescent="0.2">
      <c r="A135" s="2"/>
      <c r="B135" s="2"/>
      <c r="C135" s="2"/>
      <c r="D135" s="2"/>
      <c r="E135" s="2"/>
      <c r="F135" s="2"/>
      <c r="G135" s="2"/>
      <c r="H135" s="2"/>
      <c r="I135" s="2"/>
      <c r="J135" s="2"/>
      <c r="K135" s="2"/>
      <c r="L135" s="2"/>
      <c r="M135" s="2"/>
      <c r="N135" s="2"/>
      <c r="O135" s="2"/>
      <c r="P135" s="2"/>
    </row>
    <row r="136" spans="1:16" x14ac:dyDescent="0.2">
      <c r="A136" s="2"/>
      <c r="B136" s="2"/>
      <c r="C136" s="2"/>
      <c r="D136" s="2"/>
      <c r="E136" s="2"/>
      <c r="F136" s="2"/>
      <c r="G136" s="2"/>
      <c r="H136" s="2"/>
      <c r="I136" s="2"/>
      <c r="J136" s="2"/>
      <c r="K136" s="2"/>
      <c r="L136" s="2"/>
      <c r="M136" s="2"/>
      <c r="N136" s="2"/>
      <c r="O136" s="2"/>
      <c r="P136" s="2"/>
    </row>
    <row r="137" spans="1:16" x14ac:dyDescent="0.2">
      <c r="A137" s="2"/>
      <c r="B137" s="2"/>
      <c r="C137" s="2"/>
      <c r="D137" s="2"/>
      <c r="E137" s="2"/>
      <c r="F137" s="2"/>
      <c r="G137" s="2"/>
      <c r="H137" s="2"/>
      <c r="I137" s="2"/>
      <c r="J137" s="2"/>
      <c r="K137" s="2"/>
      <c r="L137" s="2"/>
      <c r="M137" s="2"/>
      <c r="N137" s="2"/>
      <c r="O137" s="2"/>
      <c r="P137" s="2"/>
    </row>
    <row r="138" spans="1:16" x14ac:dyDescent="0.2">
      <c r="A138" s="2"/>
      <c r="B138" s="2"/>
      <c r="C138" s="2"/>
      <c r="D138" s="2"/>
      <c r="E138" s="2"/>
      <c r="F138" s="2"/>
      <c r="G138" s="2"/>
      <c r="H138" s="2"/>
      <c r="I138" s="2"/>
      <c r="J138" s="2"/>
      <c r="K138" s="2"/>
      <c r="L138" s="2"/>
      <c r="M138" s="2"/>
      <c r="N138" s="2"/>
      <c r="O138" s="2"/>
      <c r="P138" s="2"/>
    </row>
    <row r="139" spans="1:16" x14ac:dyDescent="0.2">
      <c r="A139" s="2"/>
      <c r="B139" s="2"/>
      <c r="C139" s="2"/>
      <c r="D139" s="2"/>
      <c r="E139" s="2"/>
      <c r="F139" s="2"/>
      <c r="G139" s="2"/>
      <c r="H139" s="2"/>
      <c r="I139" s="2"/>
      <c r="J139" s="2"/>
      <c r="K139" s="2"/>
      <c r="L139" s="2"/>
      <c r="M139" s="2"/>
      <c r="N139" s="2"/>
      <c r="O139" s="2"/>
      <c r="P139" s="2"/>
    </row>
    <row r="140" spans="1:16" x14ac:dyDescent="0.2">
      <c r="A140" s="2"/>
      <c r="B140" s="2"/>
      <c r="C140" s="2"/>
      <c r="D140" s="2"/>
      <c r="E140" s="2"/>
      <c r="F140" s="2"/>
      <c r="G140" s="2"/>
      <c r="H140" s="2"/>
      <c r="I140" s="2"/>
      <c r="J140" s="2"/>
      <c r="K140" s="2"/>
      <c r="L140" s="2"/>
      <c r="M140" s="2"/>
      <c r="N140" s="2"/>
      <c r="O140" s="2"/>
      <c r="P140" s="2"/>
    </row>
    <row r="141" spans="1:16" x14ac:dyDescent="0.2">
      <c r="A141" s="2"/>
      <c r="B141" s="2"/>
      <c r="C141" s="2"/>
      <c r="D141" s="2"/>
      <c r="E141" s="2"/>
      <c r="F141" s="2"/>
      <c r="G141" s="2"/>
      <c r="H141" s="2"/>
      <c r="I141" s="2"/>
      <c r="J141" s="2"/>
      <c r="K141" s="2"/>
      <c r="L141" s="2"/>
      <c r="M141" s="2"/>
      <c r="N141" s="2"/>
      <c r="O141" s="2"/>
      <c r="P141" s="2"/>
    </row>
    <row r="142" spans="1:16" x14ac:dyDescent="0.2">
      <c r="A142" s="2"/>
      <c r="B142" s="2"/>
      <c r="C142" s="2"/>
      <c r="D142" s="2"/>
      <c r="E142" s="2"/>
      <c r="F142" s="2"/>
      <c r="G142" s="2"/>
      <c r="H142" s="2"/>
      <c r="I142" s="2"/>
      <c r="J142" s="2"/>
      <c r="K142" s="2"/>
      <c r="L142" s="2"/>
      <c r="M142" s="2"/>
      <c r="N142" s="2"/>
      <c r="O142" s="2"/>
      <c r="P142" s="2"/>
    </row>
    <row r="143" spans="1:16" x14ac:dyDescent="0.2">
      <c r="A143" s="2"/>
      <c r="B143" s="2"/>
      <c r="C143" s="2"/>
      <c r="D143" s="2"/>
      <c r="E143" s="2"/>
      <c r="F143" s="2"/>
      <c r="G143" s="2"/>
      <c r="H143" s="2"/>
      <c r="I143" s="2"/>
      <c r="J143" s="2"/>
      <c r="K143" s="2"/>
      <c r="L143" s="2"/>
      <c r="M143" s="2"/>
      <c r="N143" s="2"/>
      <c r="O143" s="2"/>
      <c r="P143" s="2"/>
    </row>
    <row r="144" spans="1:16" x14ac:dyDescent="0.2">
      <c r="A144" s="2"/>
      <c r="B144" s="2"/>
      <c r="C144" s="2"/>
      <c r="D144" s="2"/>
      <c r="E144" s="2"/>
      <c r="F144" s="2"/>
      <c r="G144" s="2"/>
      <c r="H144" s="2"/>
      <c r="I144" s="2"/>
      <c r="J144" s="2"/>
      <c r="K144" s="2"/>
      <c r="L144" s="2"/>
      <c r="M144" s="2"/>
      <c r="N144" s="2"/>
      <c r="O144" s="2"/>
      <c r="P144" s="2"/>
    </row>
    <row r="145" spans="1:16" x14ac:dyDescent="0.2">
      <c r="A145" s="2"/>
      <c r="B145" s="2"/>
      <c r="C145" s="2"/>
      <c r="D145" s="2"/>
      <c r="E145" s="2"/>
      <c r="F145" s="2"/>
      <c r="G145" s="2"/>
      <c r="H145" s="2"/>
      <c r="I145" s="2"/>
      <c r="J145" s="2"/>
      <c r="K145" s="2"/>
      <c r="L145" s="2"/>
      <c r="M145" s="2"/>
      <c r="N145" s="2"/>
      <c r="O145" s="2"/>
      <c r="P145" s="2"/>
    </row>
    <row r="146" spans="1:16" x14ac:dyDescent="0.2">
      <c r="A146" s="2"/>
      <c r="B146" s="2"/>
      <c r="C146" s="2"/>
      <c r="D146" s="2"/>
      <c r="E146" s="2"/>
      <c r="F146" s="2"/>
      <c r="G146" s="2"/>
      <c r="H146" s="2"/>
      <c r="I146" s="2"/>
      <c r="J146" s="2"/>
      <c r="K146" s="2"/>
      <c r="L146" s="2"/>
      <c r="M146" s="2"/>
      <c r="N146" s="2"/>
      <c r="O146" s="2"/>
      <c r="P146" s="2"/>
    </row>
    <row r="147" spans="1:16" x14ac:dyDescent="0.2">
      <c r="A147" s="2"/>
      <c r="B147" s="2"/>
      <c r="C147" s="2"/>
      <c r="D147" s="2"/>
      <c r="E147" s="2"/>
      <c r="F147" s="2"/>
      <c r="G147" s="2"/>
      <c r="H147" s="2"/>
      <c r="I147" s="2"/>
      <c r="J147" s="2"/>
      <c r="K147" s="2"/>
      <c r="L147" s="2"/>
      <c r="M147" s="2"/>
      <c r="N147" s="2"/>
      <c r="O147" s="2"/>
      <c r="P147" s="2"/>
    </row>
    <row r="148" spans="1:16" x14ac:dyDescent="0.2">
      <c r="A148" s="2"/>
      <c r="B148" s="2"/>
      <c r="C148" s="2"/>
      <c r="D148" s="2"/>
      <c r="E148" s="2"/>
      <c r="F148" s="2"/>
      <c r="G148" s="2"/>
      <c r="H148" s="2"/>
      <c r="I148" s="2"/>
      <c r="J148" s="2"/>
      <c r="K148" s="2"/>
      <c r="L148" s="2"/>
      <c r="M148" s="2"/>
      <c r="N148" s="2"/>
      <c r="O148" s="2"/>
      <c r="P148" s="2"/>
    </row>
    <row r="149" spans="1:16" x14ac:dyDescent="0.2">
      <c r="A149" s="2"/>
      <c r="B149" s="2"/>
      <c r="C149" s="2"/>
      <c r="D149" s="2"/>
      <c r="E149" s="2"/>
      <c r="F149" s="2"/>
      <c r="G149" s="2"/>
      <c r="H149" s="2"/>
      <c r="I149" s="2"/>
      <c r="J149" s="2"/>
      <c r="K149" s="2"/>
      <c r="L149" s="2"/>
      <c r="M149" s="2"/>
      <c r="N149" s="2"/>
      <c r="O149" s="2"/>
      <c r="P149" s="2"/>
    </row>
    <row r="150" spans="1:16" x14ac:dyDescent="0.2">
      <c r="A150" s="2"/>
      <c r="B150" s="2"/>
      <c r="C150" s="2"/>
      <c r="D150" s="2"/>
      <c r="E150" s="2"/>
      <c r="F150" s="2"/>
      <c r="G150" s="2"/>
      <c r="H150" s="2"/>
      <c r="I150" s="2"/>
      <c r="J150" s="2"/>
      <c r="K150" s="2"/>
      <c r="L150" s="2"/>
      <c r="M150" s="2"/>
      <c r="N150" s="2"/>
      <c r="O150" s="2"/>
      <c r="P150" s="2"/>
    </row>
    <row r="151" spans="1:16" x14ac:dyDescent="0.2">
      <c r="A151" s="2"/>
      <c r="B151" s="2"/>
      <c r="C151" s="2"/>
      <c r="D151" s="2"/>
      <c r="E151" s="2"/>
      <c r="F151" s="2"/>
      <c r="G151" s="2"/>
      <c r="H151" s="2"/>
      <c r="I151" s="2"/>
      <c r="J151" s="2"/>
      <c r="K151" s="2"/>
      <c r="L151" s="2"/>
      <c r="M151" s="2"/>
      <c r="N151" s="2"/>
      <c r="O151" s="2"/>
      <c r="P151" s="2"/>
    </row>
    <row r="152" spans="1:16" x14ac:dyDescent="0.2">
      <c r="A152" s="2"/>
      <c r="B152" s="2"/>
      <c r="C152" s="2"/>
      <c r="D152" s="2"/>
      <c r="E152" s="2"/>
      <c r="F152" s="2"/>
      <c r="G152" s="2"/>
      <c r="H152" s="2"/>
      <c r="I152" s="2"/>
      <c r="J152" s="2"/>
      <c r="K152" s="2"/>
      <c r="L152" s="2"/>
      <c r="M152" s="2"/>
      <c r="N152" s="2"/>
      <c r="O152" s="2"/>
      <c r="P152" s="2"/>
    </row>
    <row r="153" spans="1:16" x14ac:dyDescent="0.2">
      <c r="A153" s="2"/>
      <c r="B153" s="2"/>
      <c r="C153" s="2"/>
      <c r="D153" s="2"/>
      <c r="E153" s="2"/>
      <c r="F153" s="2"/>
      <c r="G153" s="2"/>
      <c r="H153" s="2"/>
      <c r="I153" s="2"/>
      <c r="J153" s="2"/>
      <c r="K153" s="2"/>
      <c r="L153" s="2"/>
      <c r="M153" s="2"/>
      <c r="N153" s="2"/>
      <c r="O153" s="2"/>
      <c r="P153" s="2"/>
    </row>
    <row r="154" spans="1:16" x14ac:dyDescent="0.2">
      <c r="A154" s="2"/>
      <c r="B154" s="2"/>
      <c r="C154" s="2"/>
      <c r="D154" s="2"/>
      <c r="E154" s="2"/>
      <c r="F154" s="2"/>
      <c r="G154" s="2"/>
      <c r="H154" s="2"/>
      <c r="I154" s="2"/>
      <c r="J154" s="2"/>
      <c r="K154" s="2"/>
      <c r="L154" s="2"/>
      <c r="M154" s="2"/>
      <c r="N154" s="2"/>
      <c r="O154" s="2"/>
      <c r="P154" s="2"/>
    </row>
    <row r="155" spans="1:16" x14ac:dyDescent="0.2">
      <c r="A155" s="2"/>
      <c r="B155" s="2"/>
      <c r="C155" s="2"/>
      <c r="D155" s="2"/>
      <c r="E155" s="2"/>
      <c r="F155" s="2"/>
      <c r="G155" s="2"/>
      <c r="H155" s="2"/>
      <c r="I155" s="2"/>
      <c r="J155" s="2"/>
      <c r="K155" s="2"/>
      <c r="L155" s="2"/>
      <c r="M155" s="2"/>
      <c r="N155" s="2"/>
      <c r="O155" s="2"/>
      <c r="P155" s="2"/>
    </row>
    <row r="156" spans="1:16" x14ac:dyDescent="0.2">
      <c r="A156" s="2"/>
      <c r="B156" s="2"/>
      <c r="C156" s="2"/>
      <c r="D156" s="2"/>
      <c r="E156" s="2"/>
      <c r="F156" s="2"/>
      <c r="G156" s="2"/>
      <c r="H156" s="2"/>
      <c r="I156" s="2"/>
      <c r="J156" s="2"/>
      <c r="K156" s="2"/>
      <c r="L156" s="2"/>
      <c r="M156" s="2"/>
      <c r="N156" s="2"/>
      <c r="O156" s="2"/>
      <c r="P156" s="2"/>
    </row>
    <row r="157" spans="1:16" x14ac:dyDescent="0.2">
      <c r="A157" s="2"/>
      <c r="B157" s="2"/>
      <c r="C157" s="2"/>
      <c r="D157" s="2"/>
      <c r="E157" s="2"/>
      <c r="F157" s="2"/>
      <c r="G157" s="2"/>
      <c r="H157" s="2"/>
      <c r="I157" s="2"/>
      <c r="J157" s="2"/>
      <c r="K157" s="2"/>
      <c r="L157" s="2"/>
      <c r="M157" s="2"/>
      <c r="N157" s="2"/>
      <c r="O157" s="2"/>
      <c r="P157" s="2"/>
    </row>
    <row r="158" spans="1:16" x14ac:dyDescent="0.2">
      <c r="A158" s="2"/>
      <c r="B158" s="2"/>
      <c r="C158" s="2"/>
      <c r="D158" s="2"/>
      <c r="E158" s="2"/>
      <c r="F158" s="2"/>
      <c r="G158" s="2"/>
      <c r="H158" s="2"/>
      <c r="I158" s="2"/>
      <c r="J158" s="2"/>
      <c r="K158" s="2"/>
      <c r="L158" s="2"/>
      <c r="M158" s="2"/>
      <c r="N158" s="2"/>
      <c r="O158" s="2"/>
      <c r="P158" s="2"/>
    </row>
    <row r="159" spans="1:16" x14ac:dyDescent="0.2">
      <c r="A159" s="2"/>
      <c r="B159" s="2"/>
      <c r="C159" s="2"/>
      <c r="D159" s="2"/>
      <c r="E159" s="2"/>
      <c r="F159" s="2"/>
      <c r="G159" s="2"/>
      <c r="H159" s="2"/>
      <c r="I159" s="2"/>
      <c r="J159" s="2"/>
      <c r="K159" s="2"/>
      <c r="L159" s="2"/>
      <c r="M159" s="2"/>
      <c r="N159" s="2"/>
      <c r="O159" s="2"/>
      <c r="P159" s="2"/>
    </row>
    <row r="160" spans="1:16" x14ac:dyDescent="0.2">
      <c r="A160" s="2"/>
      <c r="B160" s="2"/>
      <c r="C160" s="2"/>
      <c r="D160" s="2"/>
      <c r="E160" s="2"/>
      <c r="F160" s="2"/>
      <c r="G160" s="2"/>
      <c r="H160" s="2"/>
      <c r="I160" s="2"/>
      <c r="J160" s="2"/>
      <c r="K160" s="2"/>
      <c r="L160" s="2"/>
      <c r="M160" s="2"/>
      <c r="N160" s="2"/>
      <c r="O160" s="2"/>
      <c r="P160" s="2"/>
    </row>
    <row r="161" spans="1:16" x14ac:dyDescent="0.2">
      <c r="A161" s="2"/>
      <c r="B161" s="2"/>
      <c r="C161" s="2"/>
      <c r="D161" s="2"/>
      <c r="E161" s="2"/>
      <c r="F161" s="2"/>
      <c r="G161" s="2"/>
      <c r="H161" s="2"/>
      <c r="I161" s="2"/>
      <c r="J161" s="2"/>
      <c r="K161" s="2"/>
      <c r="L161" s="2"/>
      <c r="M161" s="2"/>
      <c r="N161" s="2"/>
      <c r="O161" s="2"/>
      <c r="P161" s="2"/>
    </row>
    <row r="162" spans="1:16" x14ac:dyDescent="0.2">
      <c r="A162" s="2"/>
      <c r="B162" s="2"/>
      <c r="C162" s="2"/>
      <c r="D162" s="2"/>
      <c r="E162" s="2"/>
      <c r="F162" s="2"/>
      <c r="G162" s="2"/>
      <c r="H162" s="2"/>
      <c r="I162" s="2"/>
      <c r="J162" s="2"/>
      <c r="K162" s="2"/>
      <c r="L162" s="2"/>
      <c r="M162" s="2"/>
      <c r="N162" s="2"/>
      <c r="O162" s="2"/>
      <c r="P162" s="2"/>
    </row>
    <row r="163" spans="1:16" x14ac:dyDescent="0.2">
      <c r="A163" s="2"/>
      <c r="B163" s="2"/>
      <c r="C163" s="2"/>
      <c r="D163" s="2"/>
      <c r="E163" s="2"/>
      <c r="F163" s="2"/>
      <c r="G163" s="2"/>
      <c r="H163" s="2"/>
      <c r="I163" s="2"/>
      <c r="J163" s="2"/>
      <c r="K163" s="2"/>
      <c r="L163" s="2"/>
      <c r="M163" s="2"/>
      <c r="N163" s="2"/>
      <c r="O163" s="2"/>
      <c r="P163" s="2"/>
    </row>
    <row r="164" spans="1:16" x14ac:dyDescent="0.2">
      <c r="A164" s="2"/>
      <c r="B164" s="2"/>
      <c r="C164" s="2"/>
      <c r="D164" s="2"/>
      <c r="E164" s="2"/>
      <c r="F164" s="2"/>
      <c r="G164" s="2"/>
      <c r="H164" s="2"/>
      <c r="I164" s="2"/>
      <c r="J164" s="2"/>
      <c r="K164" s="2"/>
      <c r="L164" s="2"/>
      <c r="M164" s="2"/>
      <c r="N164" s="2"/>
      <c r="O164" s="2"/>
      <c r="P164" s="2"/>
    </row>
    <row r="165" spans="1:16" x14ac:dyDescent="0.2">
      <c r="A165" s="2"/>
      <c r="B165" s="2"/>
      <c r="C165" s="2"/>
      <c r="D165" s="2"/>
      <c r="E165" s="2"/>
      <c r="F165" s="2"/>
      <c r="G165" s="2"/>
      <c r="H165" s="2"/>
      <c r="I165" s="2"/>
      <c r="J165" s="2"/>
      <c r="K165" s="2"/>
      <c r="L165" s="2"/>
      <c r="M165" s="2"/>
      <c r="N165" s="2"/>
      <c r="O165" s="2"/>
      <c r="P165" s="2"/>
    </row>
    <row r="166" spans="1:16" x14ac:dyDescent="0.2">
      <c r="A166" s="2"/>
      <c r="B166" s="2"/>
      <c r="C166" s="2"/>
      <c r="D166" s="2"/>
      <c r="E166" s="2"/>
      <c r="F166" s="2"/>
      <c r="G166" s="2"/>
      <c r="H166" s="2"/>
      <c r="I166" s="2"/>
      <c r="J166" s="2"/>
      <c r="K166" s="2"/>
      <c r="L166" s="2"/>
      <c r="M166" s="2"/>
      <c r="N166" s="2"/>
      <c r="O166" s="2"/>
      <c r="P166" s="2"/>
    </row>
    <row r="167" spans="1:16" x14ac:dyDescent="0.2">
      <c r="A167" s="2"/>
      <c r="B167" s="2"/>
      <c r="C167" s="2"/>
      <c r="D167" s="2"/>
      <c r="E167" s="2"/>
      <c r="F167" s="2"/>
      <c r="G167" s="2"/>
      <c r="H167" s="2"/>
      <c r="I167" s="2"/>
      <c r="J167" s="2"/>
      <c r="K167" s="2"/>
      <c r="L167" s="2"/>
      <c r="M167" s="2"/>
      <c r="N167" s="2"/>
      <c r="O167" s="2"/>
      <c r="P167" s="2"/>
    </row>
    <row r="168" spans="1:16" x14ac:dyDescent="0.2">
      <c r="A168" s="2"/>
      <c r="B168" s="2"/>
      <c r="C168" s="2"/>
      <c r="D168" s="2"/>
      <c r="E168" s="2"/>
      <c r="F168" s="2"/>
      <c r="G168" s="2"/>
      <c r="H168" s="2"/>
      <c r="I168" s="2"/>
      <c r="J168" s="2"/>
      <c r="K168" s="2"/>
      <c r="L168" s="2"/>
      <c r="M168" s="2"/>
      <c r="N168" s="2"/>
      <c r="O168" s="2"/>
      <c r="P168" s="2"/>
    </row>
    <row r="169" spans="1:16" x14ac:dyDescent="0.2">
      <c r="A169" s="2"/>
      <c r="B169" s="2"/>
      <c r="C169" s="2"/>
      <c r="D169" s="2"/>
      <c r="E169" s="2"/>
      <c r="F169" s="2"/>
      <c r="G169" s="2"/>
      <c r="H169" s="2"/>
      <c r="I169" s="2"/>
      <c r="J169" s="2"/>
      <c r="K169" s="2"/>
      <c r="L169" s="2"/>
      <c r="M169" s="2"/>
      <c r="N169" s="2"/>
      <c r="O169" s="2"/>
      <c r="P169" s="2"/>
    </row>
    <row r="170" spans="1:16" x14ac:dyDescent="0.2">
      <c r="A170" s="2"/>
      <c r="B170" s="2"/>
      <c r="C170" s="2"/>
      <c r="D170" s="2"/>
      <c r="E170" s="2"/>
      <c r="F170" s="2"/>
      <c r="G170" s="2"/>
      <c r="H170" s="2"/>
      <c r="I170" s="2"/>
      <c r="J170" s="2"/>
      <c r="K170" s="2"/>
      <c r="L170" s="2"/>
      <c r="M170" s="2"/>
      <c r="N170" s="2"/>
      <c r="O170" s="2"/>
      <c r="P170" s="2"/>
    </row>
    <row r="171" spans="1:16" x14ac:dyDescent="0.2">
      <c r="A171" s="2"/>
      <c r="B171" s="2"/>
      <c r="C171" s="2"/>
      <c r="D171" s="2"/>
      <c r="E171" s="2"/>
      <c r="F171" s="2"/>
      <c r="G171" s="2"/>
      <c r="H171" s="2"/>
      <c r="I171" s="2"/>
      <c r="J171" s="2"/>
      <c r="K171" s="2"/>
      <c r="L171" s="2"/>
      <c r="M171" s="2"/>
      <c r="N171" s="2"/>
      <c r="O171" s="2"/>
      <c r="P171" s="2"/>
    </row>
    <row r="172" spans="1:16" x14ac:dyDescent="0.2">
      <c r="A172" s="2"/>
      <c r="B172" s="2"/>
      <c r="C172" s="2"/>
      <c r="D172" s="2"/>
      <c r="E172" s="2"/>
      <c r="F172" s="2"/>
      <c r="G172" s="2"/>
      <c r="H172" s="2"/>
      <c r="I172" s="2"/>
      <c r="J172" s="2"/>
      <c r="K172" s="2"/>
      <c r="L172" s="2"/>
      <c r="M172" s="2"/>
      <c r="N172" s="2"/>
      <c r="O172" s="2"/>
      <c r="P172" s="2"/>
    </row>
    <row r="173" spans="1:16" x14ac:dyDescent="0.2">
      <c r="A173" s="2"/>
      <c r="B173" s="2"/>
      <c r="C173" s="2"/>
      <c r="D173" s="2"/>
      <c r="E173" s="2"/>
      <c r="F173" s="2"/>
      <c r="G173" s="2"/>
      <c r="H173" s="2"/>
      <c r="I173" s="2"/>
      <c r="J173" s="2"/>
      <c r="K173" s="2"/>
      <c r="L173" s="2"/>
      <c r="M173" s="2"/>
      <c r="N173" s="2"/>
      <c r="O173" s="2"/>
      <c r="P173" s="2"/>
    </row>
    <row r="174" spans="1:16" x14ac:dyDescent="0.2">
      <c r="A174" s="2"/>
      <c r="B174" s="2"/>
      <c r="C174" s="2"/>
      <c r="D174" s="2"/>
      <c r="E174" s="2"/>
      <c r="F174" s="2"/>
      <c r="G174" s="2"/>
      <c r="H174" s="2"/>
      <c r="I174" s="2"/>
      <c r="J174" s="2"/>
      <c r="K174" s="2"/>
      <c r="L174" s="2"/>
      <c r="M174" s="2"/>
      <c r="N174" s="2"/>
      <c r="O174" s="2"/>
      <c r="P174" s="2"/>
    </row>
    <row r="175" spans="1:16" x14ac:dyDescent="0.2">
      <c r="A175" s="2"/>
      <c r="B175" s="2"/>
      <c r="C175" s="2"/>
      <c r="D175" s="2"/>
      <c r="E175" s="2"/>
      <c r="F175" s="2"/>
      <c r="G175" s="2"/>
      <c r="H175" s="2"/>
      <c r="I175" s="2"/>
      <c r="J175" s="2"/>
      <c r="K175" s="2"/>
      <c r="L175" s="2"/>
      <c r="M175" s="2"/>
      <c r="N175" s="2"/>
      <c r="O175" s="2"/>
      <c r="P175" s="2"/>
    </row>
    <row r="176" spans="1:16" x14ac:dyDescent="0.2">
      <c r="A176" s="2"/>
      <c r="B176" s="2"/>
      <c r="C176" s="2"/>
      <c r="D176" s="2"/>
      <c r="E176" s="2"/>
      <c r="F176" s="2"/>
      <c r="G176" s="2"/>
      <c r="H176" s="2"/>
      <c r="I176" s="2"/>
      <c r="J176" s="2"/>
      <c r="K176" s="2"/>
      <c r="L176" s="2"/>
      <c r="M176" s="2"/>
      <c r="N176" s="2"/>
      <c r="O176" s="2"/>
      <c r="P176" s="2"/>
    </row>
    <row r="177" spans="1:16" x14ac:dyDescent="0.2">
      <c r="A177" s="2"/>
      <c r="B177" s="2"/>
      <c r="C177" s="2"/>
      <c r="D177" s="2"/>
      <c r="E177" s="2"/>
      <c r="F177" s="2"/>
      <c r="G177" s="2"/>
      <c r="H177" s="2"/>
      <c r="I177" s="2"/>
      <c r="J177" s="2"/>
      <c r="K177" s="2"/>
      <c r="L177" s="2"/>
      <c r="M177" s="2"/>
      <c r="N177" s="2"/>
      <c r="O177" s="2"/>
      <c r="P177" s="2"/>
    </row>
    <row r="178" spans="1:16" x14ac:dyDescent="0.2">
      <c r="A178" s="2"/>
      <c r="B178" s="2"/>
      <c r="C178" s="2"/>
      <c r="D178" s="2"/>
      <c r="E178" s="2"/>
      <c r="F178" s="2"/>
      <c r="G178" s="2"/>
      <c r="H178" s="2"/>
      <c r="I178" s="2"/>
      <c r="J178" s="2"/>
      <c r="K178" s="2"/>
      <c r="L178" s="2"/>
      <c r="M178" s="2"/>
      <c r="N178" s="2"/>
      <c r="O178" s="2"/>
      <c r="P178" s="2"/>
    </row>
    <row r="179" spans="1:16" x14ac:dyDescent="0.2">
      <c r="A179" s="2"/>
      <c r="B179" s="2"/>
      <c r="C179" s="2"/>
      <c r="D179" s="2"/>
      <c r="E179" s="2"/>
      <c r="F179" s="2"/>
      <c r="G179" s="2"/>
      <c r="H179" s="2"/>
      <c r="I179" s="2"/>
      <c r="J179" s="2"/>
      <c r="K179" s="2"/>
      <c r="L179" s="2"/>
      <c r="M179" s="2"/>
      <c r="N179" s="2"/>
      <c r="O179" s="2"/>
      <c r="P179" s="2"/>
    </row>
    <row r="180" spans="1:16" x14ac:dyDescent="0.2">
      <c r="A180" s="2"/>
      <c r="B180" s="2"/>
      <c r="C180" s="2"/>
      <c r="D180" s="2"/>
      <c r="E180" s="2"/>
      <c r="F180" s="2"/>
      <c r="G180" s="2"/>
      <c r="H180" s="2"/>
      <c r="I180" s="2"/>
      <c r="J180" s="2"/>
      <c r="K180" s="2"/>
      <c r="L180" s="2"/>
      <c r="M180" s="2"/>
      <c r="N180" s="2"/>
      <c r="O180" s="2"/>
      <c r="P180" s="2"/>
    </row>
    <row r="181" spans="1:16" x14ac:dyDescent="0.2">
      <c r="A181" s="2"/>
      <c r="B181" s="2"/>
      <c r="C181" s="2"/>
      <c r="D181" s="2"/>
      <c r="E181" s="2"/>
      <c r="F181" s="2"/>
      <c r="G181" s="2"/>
      <c r="H181" s="2"/>
      <c r="I181" s="2"/>
      <c r="J181" s="2"/>
      <c r="K181" s="2"/>
      <c r="L181" s="2"/>
      <c r="M181" s="2"/>
      <c r="N181" s="2"/>
      <c r="O181" s="2"/>
      <c r="P181" s="2"/>
    </row>
    <row r="182" spans="1:16" x14ac:dyDescent="0.2">
      <c r="A182" s="2"/>
      <c r="B182" s="2"/>
      <c r="C182" s="2"/>
      <c r="D182" s="2"/>
      <c r="E182" s="2"/>
      <c r="F182" s="2"/>
      <c r="G182" s="2"/>
      <c r="H182" s="2"/>
      <c r="I182" s="2"/>
      <c r="J182" s="2"/>
      <c r="K182" s="2"/>
      <c r="L182" s="2"/>
      <c r="M182" s="2"/>
      <c r="N182" s="2"/>
      <c r="O182" s="2"/>
      <c r="P182" s="2"/>
    </row>
    <row r="183" spans="1:16" x14ac:dyDescent="0.2">
      <c r="A183" s="2"/>
      <c r="B183" s="2"/>
      <c r="C183" s="2"/>
      <c r="D183" s="2"/>
      <c r="E183" s="2"/>
      <c r="F183" s="2"/>
      <c r="G183" s="2"/>
      <c r="H183" s="2"/>
      <c r="I183" s="2"/>
      <c r="J183" s="2"/>
      <c r="K183" s="2"/>
      <c r="L183" s="2"/>
      <c r="M183" s="2"/>
      <c r="N183" s="2"/>
      <c r="O183" s="2"/>
      <c r="P183" s="2"/>
    </row>
    <row r="184" spans="1:16" x14ac:dyDescent="0.2">
      <c r="A184" s="2"/>
      <c r="B184" s="2"/>
      <c r="C184" s="2"/>
      <c r="D184" s="2"/>
      <c r="E184" s="2"/>
      <c r="F184" s="2"/>
      <c r="G184" s="2"/>
      <c r="H184" s="2"/>
      <c r="I184" s="2"/>
      <c r="J184" s="2"/>
      <c r="K184" s="2"/>
      <c r="L184" s="2"/>
      <c r="M184" s="2"/>
      <c r="N184" s="2"/>
      <c r="O184" s="2"/>
      <c r="P184" s="2"/>
    </row>
    <row r="185" spans="1:16" x14ac:dyDescent="0.2">
      <c r="A185" s="2"/>
      <c r="B185" s="2"/>
      <c r="C185" s="2"/>
      <c r="D185" s="2"/>
      <c r="E185" s="2"/>
      <c r="F185" s="2"/>
      <c r="G185" s="2"/>
      <c r="H185" s="2"/>
      <c r="I185" s="2"/>
      <c r="J185" s="2"/>
      <c r="K185" s="2"/>
      <c r="L185" s="2"/>
      <c r="M185" s="2"/>
      <c r="N185" s="2"/>
      <c r="O185" s="2"/>
      <c r="P185" s="2"/>
    </row>
    <row r="186" spans="1:16" x14ac:dyDescent="0.2">
      <c r="A186" s="2"/>
      <c r="B186" s="2"/>
      <c r="C186" s="2"/>
      <c r="D186" s="2"/>
      <c r="E186" s="2"/>
      <c r="F186" s="2"/>
      <c r="G186" s="2"/>
      <c r="H186" s="2"/>
      <c r="I186" s="2"/>
      <c r="J186" s="2"/>
      <c r="K186" s="2"/>
      <c r="L186" s="2"/>
      <c r="M186" s="2"/>
      <c r="N186" s="2"/>
      <c r="O186" s="2"/>
      <c r="P186" s="2"/>
    </row>
    <row r="187" spans="1:16" x14ac:dyDescent="0.2">
      <c r="A187" s="2"/>
      <c r="B187" s="2"/>
      <c r="C187" s="2"/>
      <c r="D187" s="2"/>
      <c r="E187" s="2"/>
      <c r="F187" s="2"/>
      <c r="G187" s="2"/>
      <c r="H187" s="2"/>
      <c r="I187" s="2"/>
      <c r="J187" s="2"/>
      <c r="K187" s="2"/>
      <c r="L187" s="2"/>
      <c r="M187" s="2"/>
      <c r="N187" s="2"/>
      <c r="O187" s="2"/>
      <c r="P187" s="2"/>
    </row>
    <row r="188" spans="1:16" x14ac:dyDescent="0.2">
      <c r="A188" s="2"/>
      <c r="B188" s="2"/>
      <c r="C188" s="2"/>
      <c r="D188" s="2"/>
      <c r="E188" s="2"/>
      <c r="F188" s="2"/>
      <c r="G188" s="2"/>
      <c r="H188" s="2"/>
      <c r="I188" s="2"/>
      <c r="J188" s="2"/>
      <c r="K188" s="2"/>
      <c r="L188" s="2"/>
      <c r="M188" s="2"/>
      <c r="N188" s="2"/>
      <c r="O188" s="2"/>
      <c r="P188" s="2"/>
    </row>
    <row r="189" spans="1:16" x14ac:dyDescent="0.2">
      <c r="A189" s="2"/>
      <c r="B189" s="2"/>
      <c r="C189" s="2"/>
      <c r="D189" s="2"/>
      <c r="E189" s="2"/>
      <c r="F189" s="2"/>
      <c r="G189" s="2"/>
      <c r="H189" s="2"/>
      <c r="I189" s="2"/>
      <c r="J189" s="2"/>
      <c r="K189" s="2"/>
      <c r="L189" s="2"/>
      <c r="M189" s="2"/>
      <c r="N189" s="2"/>
      <c r="O189" s="2"/>
      <c r="P189" s="2"/>
    </row>
    <row r="190" spans="1:16" x14ac:dyDescent="0.2">
      <c r="A190" s="2"/>
      <c r="B190" s="2"/>
      <c r="C190" s="2"/>
      <c r="D190" s="2"/>
      <c r="E190" s="2"/>
      <c r="F190" s="2"/>
      <c r="G190" s="2"/>
      <c r="H190" s="2"/>
      <c r="I190" s="2"/>
      <c r="J190" s="2"/>
      <c r="K190" s="2"/>
      <c r="L190" s="2"/>
      <c r="M190" s="2"/>
      <c r="N190" s="2"/>
      <c r="O190" s="2"/>
      <c r="P190" s="2"/>
    </row>
    <row r="191" spans="1:16" x14ac:dyDescent="0.2">
      <c r="A191" s="2"/>
      <c r="B191" s="2"/>
      <c r="C191" s="2"/>
      <c r="D191" s="2"/>
      <c r="E191" s="2"/>
      <c r="F191" s="2"/>
      <c r="G191" s="2"/>
      <c r="H191" s="2"/>
      <c r="I191" s="2"/>
      <c r="J191" s="2"/>
      <c r="K191" s="2"/>
      <c r="L191" s="2"/>
      <c r="M191" s="2"/>
      <c r="N191" s="2"/>
      <c r="O191" s="2"/>
      <c r="P191" s="2"/>
    </row>
    <row r="192" spans="1:16" x14ac:dyDescent="0.2">
      <c r="A192" s="2"/>
      <c r="B192" s="2"/>
      <c r="C192" s="2"/>
      <c r="D192" s="2"/>
      <c r="E192" s="2"/>
      <c r="F192" s="2"/>
      <c r="G192" s="2"/>
      <c r="H192" s="2"/>
      <c r="I192" s="2"/>
      <c r="J192" s="2"/>
      <c r="K192" s="2"/>
      <c r="L192" s="2"/>
      <c r="M192" s="2"/>
      <c r="N192" s="2"/>
      <c r="O192" s="2"/>
      <c r="P192" s="2"/>
    </row>
    <row r="193" spans="1:16" x14ac:dyDescent="0.2">
      <c r="A193" s="2"/>
      <c r="B193" s="2"/>
      <c r="C193" s="2"/>
      <c r="D193" s="2"/>
      <c r="E193" s="2"/>
      <c r="F193" s="2"/>
      <c r="G193" s="2"/>
      <c r="H193" s="2"/>
      <c r="I193" s="2"/>
      <c r="J193" s="2"/>
      <c r="K193" s="2"/>
      <c r="L193" s="2"/>
      <c r="M193" s="2"/>
      <c r="N193" s="2"/>
      <c r="O193" s="2"/>
      <c r="P193" s="2"/>
    </row>
    <row r="194" spans="1:16" x14ac:dyDescent="0.2">
      <c r="A194" s="2"/>
      <c r="B194" s="2"/>
      <c r="C194" s="2"/>
      <c r="D194" s="2"/>
      <c r="E194" s="2"/>
      <c r="F194" s="2"/>
      <c r="G194" s="2"/>
      <c r="H194" s="2"/>
      <c r="I194" s="2"/>
      <c r="J194" s="2"/>
      <c r="K194" s="2"/>
      <c r="L194" s="2"/>
      <c r="M194" s="2"/>
      <c r="N194" s="2"/>
      <c r="O194" s="2"/>
      <c r="P194" s="2"/>
    </row>
    <row r="195" spans="1:16" x14ac:dyDescent="0.2">
      <c r="A195" s="2"/>
      <c r="B195" s="2"/>
      <c r="C195" s="2"/>
      <c r="D195" s="2"/>
      <c r="E195" s="2"/>
      <c r="F195" s="2"/>
      <c r="G195" s="2"/>
      <c r="H195" s="2"/>
      <c r="I195" s="2"/>
      <c r="J195" s="2"/>
      <c r="K195" s="2"/>
      <c r="L195" s="2"/>
      <c r="M195" s="2"/>
      <c r="N195" s="2"/>
      <c r="O195" s="2"/>
      <c r="P195" s="2"/>
    </row>
    <row r="196" spans="1:16" x14ac:dyDescent="0.2">
      <c r="A196" s="2"/>
      <c r="B196" s="2"/>
      <c r="C196" s="2"/>
      <c r="D196" s="2"/>
      <c r="E196" s="2"/>
      <c r="F196" s="2"/>
      <c r="G196" s="2"/>
      <c r="H196" s="2"/>
      <c r="I196" s="2"/>
      <c r="J196" s="2"/>
      <c r="K196" s="2"/>
      <c r="L196" s="2"/>
      <c r="M196" s="2"/>
      <c r="N196" s="2"/>
      <c r="O196" s="2"/>
      <c r="P196" s="2"/>
    </row>
    <row r="197" spans="1:16" x14ac:dyDescent="0.2">
      <c r="A197" s="2"/>
      <c r="B197" s="2"/>
      <c r="C197" s="2"/>
      <c r="D197" s="2"/>
      <c r="E197" s="2"/>
      <c r="F197" s="2"/>
      <c r="G197" s="2"/>
      <c r="H197" s="2"/>
      <c r="I197" s="2"/>
      <c r="J197" s="2"/>
      <c r="K197" s="2"/>
      <c r="L197" s="2"/>
      <c r="M197" s="2"/>
      <c r="N197" s="2"/>
      <c r="O197" s="2"/>
      <c r="P197" s="2"/>
    </row>
    <row r="198" spans="1:16" x14ac:dyDescent="0.2">
      <c r="A198" s="2"/>
      <c r="B198" s="2"/>
      <c r="C198" s="2"/>
      <c r="D198" s="2"/>
      <c r="E198" s="2"/>
      <c r="F198" s="2"/>
      <c r="G198" s="2"/>
      <c r="H198" s="2"/>
      <c r="I198" s="2"/>
      <c r="J198" s="2"/>
      <c r="K198" s="2"/>
      <c r="L198" s="2"/>
      <c r="M198" s="2"/>
      <c r="N198" s="2"/>
      <c r="O198" s="2"/>
      <c r="P198" s="2"/>
    </row>
    <row r="199" spans="1:16" x14ac:dyDescent="0.2">
      <c r="A199" s="2"/>
      <c r="B199" s="2"/>
      <c r="C199" s="2"/>
      <c r="D199" s="2"/>
      <c r="E199" s="2"/>
      <c r="F199" s="2"/>
      <c r="G199" s="2"/>
      <c r="H199" s="2"/>
      <c r="I199" s="2"/>
      <c r="J199" s="2"/>
      <c r="K199" s="2"/>
      <c r="L199" s="2"/>
      <c r="M199" s="2"/>
      <c r="N199" s="2"/>
      <c r="O199" s="2"/>
      <c r="P199" s="2"/>
    </row>
    <row r="200" spans="1:16" x14ac:dyDescent="0.2">
      <c r="A200" s="2"/>
      <c r="B200" s="2"/>
      <c r="C200" s="2"/>
      <c r="D200" s="2"/>
      <c r="E200" s="2"/>
      <c r="F200" s="2"/>
      <c r="G200" s="2"/>
      <c r="H200" s="2"/>
      <c r="I200" s="2"/>
      <c r="J200" s="2"/>
      <c r="K200" s="2"/>
      <c r="L200" s="2"/>
      <c r="M200" s="2"/>
      <c r="N200" s="2"/>
      <c r="O200" s="2"/>
      <c r="P200" s="2"/>
    </row>
    <row r="201" spans="1:16" x14ac:dyDescent="0.2">
      <c r="A201" s="2"/>
      <c r="B201" s="2"/>
      <c r="C201" s="2"/>
      <c r="D201" s="2"/>
      <c r="E201" s="2"/>
      <c r="F201" s="2"/>
      <c r="G201" s="2"/>
      <c r="H201" s="2"/>
      <c r="I201" s="2"/>
      <c r="J201" s="2"/>
      <c r="K201" s="2"/>
      <c r="L201" s="2"/>
      <c r="M201" s="2"/>
      <c r="N201" s="2"/>
      <c r="O201" s="2"/>
      <c r="P201" s="2"/>
    </row>
    <row r="202" spans="1:16" x14ac:dyDescent="0.2">
      <c r="A202" s="2"/>
      <c r="B202" s="2"/>
      <c r="C202" s="2"/>
      <c r="D202" s="2"/>
      <c r="E202" s="2"/>
      <c r="F202" s="2"/>
      <c r="G202" s="2"/>
      <c r="H202" s="2"/>
      <c r="I202" s="2"/>
      <c r="J202" s="2"/>
      <c r="K202" s="2"/>
      <c r="L202" s="2"/>
      <c r="M202" s="2"/>
      <c r="N202" s="2"/>
      <c r="O202" s="2"/>
      <c r="P202" s="2"/>
    </row>
    <row r="203" spans="1:16" x14ac:dyDescent="0.2">
      <c r="A203" s="2"/>
      <c r="B203" s="2"/>
      <c r="C203" s="2"/>
      <c r="D203" s="2"/>
      <c r="E203" s="2"/>
      <c r="F203" s="2"/>
      <c r="G203" s="2"/>
      <c r="H203" s="2"/>
      <c r="I203" s="2"/>
      <c r="J203" s="2"/>
      <c r="K203" s="2"/>
      <c r="L203" s="2"/>
      <c r="M203" s="2"/>
      <c r="N203" s="2"/>
      <c r="O203" s="2"/>
      <c r="P203" s="2"/>
    </row>
    <row r="204" spans="1:16" x14ac:dyDescent="0.2">
      <c r="A204" s="2"/>
      <c r="B204" s="2"/>
      <c r="C204" s="2"/>
      <c r="D204" s="2"/>
      <c r="E204" s="2"/>
      <c r="F204" s="2"/>
      <c r="G204" s="2"/>
      <c r="H204" s="2"/>
      <c r="I204" s="2"/>
      <c r="J204" s="2"/>
      <c r="K204" s="2"/>
      <c r="L204" s="2"/>
      <c r="M204" s="2"/>
      <c r="N204" s="2"/>
      <c r="O204" s="2"/>
      <c r="P204" s="2"/>
    </row>
    <row r="205" spans="1:16" x14ac:dyDescent="0.2">
      <c r="A205" s="2"/>
      <c r="B205" s="2"/>
      <c r="C205" s="2"/>
      <c r="D205" s="2"/>
      <c r="E205" s="2"/>
      <c r="F205" s="2"/>
      <c r="G205" s="2"/>
      <c r="H205" s="2"/>
      <c r="I205" s="2"/>
      <c r="J205" s="2"/>
      <c r="K205" s="2"/>
      <c r="L205" s="2"/>
      <c r="M205" s="2"/>
      <c r="N205" s="2"/>
      <c r="O205" s="2"/>
      <c r="P205" s="2"/>
    </row>
    <row r="206" spans="1:16" x14ac:dyDescent="0.2">
      <c r="A206" s="2"/>
      <c r="B206" s="2"/>
      <c r="C206" s="2"/>
      <c r="D206" s="2"/>
      <c r="E206" s="2"/>
      <c r="F206" s="2"/>
      <c r="G206" s="2"/>
      <c r="H206" s="2"/>
      <c r="I206" s="2"/>
      <c r="J206" s="2"/>
      <c r="K206" s="2"/>
      <c r="L206" s="2"/>
      <c r="M206" s="2"/>
      <c r="N206" s="2"/>
      <c r="O206" s="2"/>
      <c r="P206" s="2"/>
    </row>
    <row r="207" spans="1:16" x14ac:dyDescent="0.2">
      <c r="A207" s="2"/>
      <c r="B207" s="2"/>
      <c r="C207" s="2"/>
      <c r="D207" s="2"/>
      <c r="E207" s="2"/>
      <c r="F207" s="2"/>
      <c r="G207" s="2"/>
      <c r="H207" s="2"/>
      <c r="I207" s="2"/>
      <c r="J207" s="2"/>
      <c r="K207" s="2"/>
      <c r="L207" s="2"/>
      <c r="M207" s="2"/>
      <c r="N207" s="2"/>
      <c r="O207" s="2"/>
      <c r="P207" s="2"/>
    </row>
    <row r="208" spans="1:16" x14ac:dyDescent="0.2">
      <c r="A208" s="2"/>
      <c r="B208" s="2"/>
      <c r="C208" s="2"/>
      <c r="D208" s="2"/>
      <c r="E208" s="2"/>
      <c r="F208" s="2"/>
      <c r="G208" s="2"/>
      <c r="H208" s="2"/>
      <c r="I208" s="2"/>
      <c r="J208" s="2"/>
      <c r="K208" s="2"/>
      <c r="L208" s="2"/>
      <c r="M208" s="2"/>
      <c r="N208" s="2"/>
      <c r="O208" s="2"/>
      <c r="P208" s="2"/>
    </row>
    <row r="209" spans="1:16" x14ac:dyDescent="0.2">
      <c r="A209" s="2"/>
      <c r="B209" s="2"/>
      <c r="C209" s="2"/>
      <c r="D209" s="2"/>
      <c r="E209" s="2"/>
      <c r="F209" s="2"/>
      <c r="G209" s="2"/>
      <c r="H209" s="2"/>
      <c r="I209" s="2"/>
      <c r="J209" s="2"/>
      <c r="K209" s="2"/>
      <c r="L209" s="2"/>
      <c r="M209" s="2"/>
      <c r="N209" s="2"/>
      <c r="O209" s="2"/>
      <c r="P209" s="2"/>
    </row>
    <row r="210" spans="1:16" x14ac:dyDescent="0.2">
      <c r="A210" s="2"/>
      <c r="B210" s="2"/>
      <c r="C210" s="2"/>
      <c r="D210" s="2"/>
      <c r="E210" s="2"/>
      <c r="F210" s="2"/>
      <c r="G210" s="2"/>
      <c r="H210" s="2"/>
      <c r="I210" s="2"/>
      <c r="J210" s="2"/>
      <c r="K210" s="2"/>
      <c r="L210" s="2"/>
      <c r="M210" s="2"/>
      <c r="N210" s="2"/>
      <c r="O210" s="2"/>
      <c r="P210" s="2"/>
    </row>
    <row r="211" spans="1:16" x14ac:dyDescent="0.2">
      <c r="A211" s="2"/>
      <c r="B211" s="2"/>
      <c r="C211" s="2"/>
      <c r="D211" s="2"/>
      <c r="E211" s="2"/>
      <c r="F211" s="2"/>
      <c r="G211" s="2"/>
      <c r="H211" s="2"/>
      <c r="I211" s="2"/>
      <c r="J211" s="2"/>
      <c r="K211" s="2"/>
      <c r="L211" s="2"/>
      <c r="M211" s="2"/>
      <c r="N211" s="2"/>
      <c r="O211" s="2"/>
      <c r="P211" s="2"/>
    </row>
    <row r="212" spans="1:16" x14ac:dyDescent="0.2">
      <c r="A212" s="2"/>
      <c r="B212" s="2"/>
      <c r="C212" s="2"/>
      <c r="D212" s="2"/>
      <c r="E212" s="2"/>
      <c r="F212" s="2"/>
      <c r="G212" s="2"/>
      <c r="H212" s="2"/>
      <c r="I212" s="2"/>
      <c r="J212" s="2"/>
      <c r="K212" s="2"/>
      <c r="L212" s="2"/>
      <c r="M212" s="2"/>
      <c r="N212" s="2"/>
      <c r="O212" s="2"/>
      <c r="P212" s="2"/>
    </row>
    <row r="213" spans="1:16" x14ac:dyDescent="0.2">
      <c r="A213" s="2"/>
      <c r="B213" s="2"/>
      <c r="C213" s="2"/>
      <c r="D213" s="2"/>
      <c r="E213" s="2"/>
      <c r="F213" s="2"/>
      <c r="G213" s="2"/>
      <c r="H213" s="2"/>
      <c r="I213" s="2"/>
      <c r="J213" s="2"/>
      <c r="K213" s="2"/>
      <c r="L213" s="2"/>
      <c r="M213" s="2"/>
      <c r="N213" s="2"/>
      <c r="O213" s="2"/>
      <c r="P213" s="2"/>
    </row>
    <row r="214" spans="1:16" x14ac:dyDescent="0.2">
      <c r="A214" s="2"/>
      <c r="B214" s="2"/>
      <c r="C214" s="2"/>
      <c r="D214" s="2"/>
      <c r="E214" s="2"/>
      <c r="F214" s="2"/>
      <c r="G214" s="2"/>
      <c r="H214" s="2"/>
      <c r="I214" s="2"/>
      <c r="J214" s="2"/>
      <c r="K214" s="2"/>
      <c r="L214" s="2"/>
      <c r="M214" s="2"/>
      <c r="N214" s="2"/>
      <c r="O214" s="2"/>
      <c r="P214" s="2"/>
    </row>
    <row r="215" spans="1:16" x14ac:dyDescent="0.2">
      <c r="A215" s="2"/>
      <c r="B215" s="2"/>
      <c r="C215" s="2"/>
      <c r="D215" s="2"/>
      <c r="E215" s="2"/>
      <c r="F215" s="2"/>
      <c r="G215" s="2"/>
      <c r="H215" s="2"/>
      <c r="I215" s="2"/>
      <c r="J215" s="2"/>
      <c r="K215" s="2"/>
      <c r="L215" s="2"/>
      <c r="M215" s="2"/>
      <c r="N215" s="2"/>
      <c r="O215" s="2"/>
      <c r="P215" s="2"/>
    </row>
    <row r="216" spans="1:16" x14ac:dyDescent="0.2">
      <c r="A216" s="2"/>
      <c r="B216" s="2"/>
      <c r="C216" s="2"/>
      <c r="D216" s="2"/>
      <c r="E216" s="2"/>
      <c r="F216" s="2"/>
      <c r="G216" s="2"/>
      <c r="H216" s="2"/>
      <c r="I216" s="2"/>
      <c r="J216" s="2"/>
      <c r="K216" s="2"/>
      <c r="L216" s="2"/>
      <c r="M216" s="2"/>
      <c r="N216" s="2"/>
      <c r="O216" s="2"/>
      <c r="P216" s="2"/>
    </row>
    <row r="217" spans="1:16" x14ac:dyDescent="0.2">
      <c r="A217" s="2"/>
      <c r="B217" s="2"/>
      <c r="C217" s="2"/>
      <c r="D217" s="2"/>
      <c r="E217" s="2"/>
      <c r="F217" s="2"/>
      <c r="G217" s="2"/>
      <c r="H217" s="2"/>
      <c r="I217" s="2"/>
      <c r="J217" s="2"/>
      <c r="K217" s="2"/>
      <c r="L217" s="2"/>
      <c r="M217" s="2"/>
      <c r="N217" s="2"/>
      <c r="O217" s="2"/>
      <c r="P217" s="2"/>
    </row>
    <row r="218" spans="1:16" x14ac:dyDescent="0.2">
      <c r="A218" s="2"/>
      <c r="B218" s="2"/>
      <c r="C218" s="2"/>
      <c r="D218" s="2"/>
      <c r="E218" s="2"/>
      <c r="F218" s="2"/>
      <c r="G218" s="2"/>
      <c r="H218" s="2"/>
      <c r="I218" s="2"/>
      <c r="J218" s="2"/>
      <c r="K218" s="2"/>
      <c r="L218" s="2"/>
      <c r="M218" s="2"/>
      <c r="N218" s="2"/>
      <c r="O218" s="2"/>
      <c r="P218" s="2"/>
    </row>
    <row r="219" spans="1:16" x14ac:dyDescent="0.2">
      <c r="A219" s="2"/>
      <c r="B219" s="2"/>
      <c r="C219" s="2"/>
      <c r="D219" s="2"/>
      <c r="E219" s="2"/>
      <c r="F219" s="2"/>
      <c r="G219" s="2"/>
      <c r="H219" s="2"/>
      <c r="I219" s="2"/>
      <c r="J219" s="2"/>
      <c r="K219" s="2"/>
      <c r="L219" s="2"/>
      <c r="M219" s="2"/>
      <c r="N219" s="2"/>
      <c r="O219" s="2"/>
      <c r="P219" s="2"/>
    </row>
    <row r="220" spans="1:16" x14ac:dyDescent="0.2">
      <c r="A220" s="2"/>
      <c r="B220" s="2"/>
      <c r="C220" s="2"/>
      <c r="D220" s="2"/>
      <c r="E220" s="2"/>
      <c r="F220" s="2"/>
      <c r="G220" s="2"/>
      <c r="H220" s="2"/>
      <c r="I220" s="2"/>
      <c r="J220" s="2"/>
      <c r="K220" s="2"/>
      <c r="L220" s="2"/>
      <c r="M220" s="2"/>
      <c r="N220" s="2"/>
      <c r="O220" s="2"/>
      <c r="P220" s="2"/>
    </row>
    <row r="221" spans="1:16" x14ac:dyDescent="0.2">
      <c r="A221" s="2"/>
      <c r="B221" s="2"/>
      <c r="C221" s="2"/>
      <c r="D221" s="2"/>
      <c r="E221" s="2"/>
      <c r="F221" s="2"/>
      <c r="G221" s="2"/>
      <c r="H221" s="2"/>
      <c r="I221" s="2"/>
      <c r="J221" s="2"/>
      <c r="K221" s="2"/>
      <c r="L221" s="2"/>
      <c r="M221" s="2"/>
      <c r="N221" s="2"/>
      <c r="O221" s="2"/>
      <c r="P221" s="2"/>
    </row>
    <row r="222" spans="1:16" x14ac:dyDescent="0.2">
      <c r="A222" s="2"/>
      <c r="B222" s="2"/>
      <c r="C222" s="2"/>
      <c r="D222" s="2"/>
      <c r="E222" s="2"/>
      <c r="F222" s="2"/>
      <c r="G222" s="2"/>
      <c r="H222" s="2"/>
      <c r="I222" s="2"/>
      <c r="J222" s="2"/>
      <c r="K222" s="2"/>
      <c r="L222" s="2"/>
      <c r="M222" s="2"/>
      <c r="N222" s="2"/>
      <c r="O222" s="2"/>
      <c r="P222" s="2"/>
    </row>
    <row r="223" spans="1:16" x14ac:dyDescent="0.2">
      <c r="A223" s="2"/>
      <c r="B223" s="2"/>
      <c r="C223" s="2"/>
      <c r="D223" s="2"/>
      <c r="E223" s="2"/>
      <c r="F223" s="2"/>
      <c r="G223" s="2"/>
      <c r="H223" s="2"/>
      <c r="I223" s="2"/>
      <c r="J223" s="2"/>
      <c r="K223" s="2"/>
      <c r="L223" s="2"/>
      <c r="M223" s="2"/>
      <c r="N223" s="2"/>
      <c r="O223" s="2"/>
      <c r="P223" s="2"/>
    </row>
    <row r="224" spans="1:16" x14ac:dyDescent="0.2">
      <c r="A224" s="2"/>
      <c r="B224" s="2"/>
      <c r="C224" s="2"/>
      <c r="D224" s="2"/>
      <c r="E224" s="2"/>
      <c r="F224" s="2"/>
      <c r="G224" s="2"/>
      <c r="H224" s="2"/>
      <c r="I224" s="2"/>
      <c r="J224" s="2"/>
      <c r="K224" s="2"/>
      <c r="L224" s="2"/>
      <c r="M224" s="2"/>
      <c r="N224" s="2"/>
      <c r="O224" s="2"/>
      <c r="P224" s="2"/>
    </row>
    <row r="225" spans="1:16" x14ac:dyDescent="0.2">
      <c r="A225" s="2"/>
      <c r="B225" s="2"/>
      <c r="C225" s="2"/>
      <c r="D225" s="2"/>
      <c r="E225" s="2"/>
      <c r="F225" s="2"/>
      <c r="G225" s="2"/>
      <c r="H225" s="2"/>
      <c r="I225" s="2"/>
      <c r="J225" s="2"/>
      <c r="K225" s="2"/>
      <c r="L225" s="2"/>
      <c r="M225" s="2"/>
      <c r="N225" s="2"/>
      <c r="O225" s="2"/>
      <c r="P225" s="2"/>
    </row>
    <row r="226" spans="1:16" x14ac:dyDescent="0.2">
      <c r="A226" s="2"/>
      <c r="B226" s="2"/>
      <c r="C226" s="2"/>
      <c r="D226" s="2"/>
      <c r="E226" s="2"/>
      <c r="F226" s="2"/>
      <c r="G226" s="2"/>
      <c r="H226" s="2"/>
      <c r="I226" s="2"/>
      <c r="J226" s="2"/>
      <c r="K226" s="2"/>
      <c r="L226" s="2"/>
      <c r="M226" s="2"/>
      <c r="N226" s="2"/>
      <c r="O226" s="2"/>
      <c r="P226" s="2"/>
    </row>
    <row r="227" spans="1:16" x14ac:dyDescent="0.2">
      <c r="A227" s="2"/>
      <c r="B227" s="2"/>
      <c r="C227" s="2"/>
      <c r="D227" s="2"/>
      <c r="E227" s="2"/>
      <c r="F227" s="2"/>
      <c r="G227" s="2"/>
      <c r="H227" s="2"/>
      <c r="I227" s="2"/>
      <c r="J227" s="2"/>
      <c r="K227" s="2"/>
      <c r="L227" s="2"/>
      <c r="M227" s="2"/>
      <c r="N227" s="2"/>
      <c r="O227" s="2"/>
      <c r="P227" s="2"/>
    </row>
    <row r="228" spans="1:16" x14ac:dyDescent="0.2">
      <c r="A228" s="2"/>
      <c r="B228" s="2"/>
      <c r="C228" s="2"/>
      <c r="D228" s="2"/>
      <c r="E228" s="2"/>
      <c r="F228" s="2"/>
      <c r="G228" s="2"/>
      <c r="H228" s="2"/>
      <c r="I228" s="2"/>
      <c r="J228" s="2"/>
      <c r="K228" s="2"/>
      <c r="L228" s="2"/>
      <c r="M228" s="2"/>
      <c r="N228" s="2"/>
      <c r="O228" s="2"/>
      <c r="P228" s="2"/>
    </row>
    <row r="229" spans="1:16" x14ac:dyDescent="0.2">
      <c r="A229" s="2"/>
      <c r="B229" s="2"/>
      <c r="C229" s="2"/>
      <c r="D229" s="2"/>
      <c r="E229" s="2"/>
      <c r="F229" s="2"/>
      <c r="G229" s="2"/>
      <c r="H229" s="2"/>
      <c r="I229" s="2"/>
      <c r="J229" s="2"/>
      <c r="K229" s="2"/>
      <c r="L229" s="2"/>
      <c r="M229" s="2"/>
      <c r="N229" s="2"/>
      <c r="O229" s="2"/>
      <c r="P229" s="2"/>
    </row>
    <row r="230" spans="1:16" x14ac:dyDescent="0.2">
      <c r="A230" s="2"/>
      <c r="B230" s="2"/>
      <c r="C230" s="2"/>
      <c r="D230" s="2"/>
      <c r="E230" s="2"/>
      <c r="F230" s="2"/>
      <c r="G230" s="2"/>
      <c r="H230" s="2"/>
      <c r="I230" s="2"/>
      <c r="J230" s="2"/>
      <c r="K230" s="2"/>
      <c r="L230" s="2"/>
      <c r="M230" s="2"/>
      <c r="N230" s="2"/>
      <c r="O230" s="2"/>
      <c r="P230" s="2"/>
    </row>
    <row r="231" spans="1:16" x14ac:dyDescent="0.2">
      <c r="A231" s="2"/>
      <c r="B231" s="2"/>
      <c r="C231" s="2"/>
      <c r="D231" s="2"/>
      <c r="E231" s="2"/>
      <c r="F231" s="2"/>
      <c r="G231" s="2"/>
      <c r="H231" s="2"/>
      <c r="I231" s="2"/>
      <c r="J231" s="2"/>
      <c r="K231" s="2"/>
      <c r="L231" s="2"/>
      <c r="M231" s="2"/>
      <c r="N231" s="2"/>
      <c r="O231" s="2"/>
      <c r="P231" s="2"/>
    </row>
    <row r="232" spans="1:16" x14ac:dyDescent="0.2">
      <c r="A232" s="2"/>
      <c r="B232" s="2"/>
      <c r="C232" s="2"/>
      <c r="D232" s="2"/>
      <c r="E232" s="2"/>
      <c r="F232" s="2"/>
      <c r="G232" s="2"/>
      <c r="H232" s="2"/>
      <c r="I232" s="2"/>
      <c r="J232" s="2"/>
      <c r="K232" s="2"/>
      <c r="L232" s="2"/>
      <c r="M232" s="2"/>
      <c r="N232" s="2"/>
      <c r="O232" s="2"/>
      <c r="P232" s="2"/>
    </row>
    <row r="233" spans="1:16" x14ac:dyDescent="0.2">
      <c r="A233" s="2"/>
      <c r="B233" s="2"/>
      <c r="C233" s="2"/>
      <c r="D233" s="2"/>
      <c r="E233" s="2"/>
      <c r="F233" s="2"/>
      <c r="G233" s="2"/>
      <c r="H233" s="2"/>
      <c r="I233" s="2"/>
      <c r="J233" s="2"/>
      <c r="K233" s="2"/>
      <c r="L233" s="2"/>
      <c r="M233" s="2"/>
      <c r="N233" s="2"/>
      <c r="O233" s="2"/>
      <c r="P233" s="2"/>
    </row>
    <row r="234" spans="1:16" x14ac:dyDescent="0.2">
      <c r="A234" s="2"/>
      <c r="B234" s="2"/>
      <c r="C234" s="2"/>
      <c r="D234" s="2"/>
      <c r="E234" s="2"/>
      <c r="F234" s="2"/>
      <c r="G234" s="2"/>
      <c r="H234" s="2"/>
      <c r="I234" s="2"/>
      <c r="J234" s="2"/>
      <c r="K234" s="2"/>
      <c r="L234" s="2"/>
      <c r="M234" s="2"/>
      <c r="N234" s="2"/>
      <c r="O234" s="2"/>
      <c r="P234" s="2"/>
    </row>
    <row r="235" spans="1:16" x14ac:dyDescent="0.2">
      <c r="A235" s="2"/>
      <c r="B235" s="2"/>
      <c r="C235" s="2"/>
      <c r="D235" s="2"/>
      <c r="E235" s="2"/>
      <c r="F235" s="2"/>
      <c r="G235" s="2"/>
      <c r="H235" s="2"/>
      <c r="I235" s="2"/>
      <c r="J235" s="2"/>
      <c r="K235" s="2"/>
      <c r="L235" s="2"/>
      <c r="M235" s="2"/>
      <c r="N235" s="2"/>
      <c r="O235" s="2"/>
      <c r="P235" s="2"/>
    </row>
    <row r="236" spans="1:16" x14ac:dyDescent="0.2">
      <c r="A236" s="2"/>
      <c r="B236" s="2"/>
      <c r="C236" s="2"/>
      <c r="D236" s="2"/>
      <c r="E236" s="2"/>
      <c r="F236" s="2"/>
      <c r="G236" s="2"/>
      <c r="H236" s="2"/>
      <c r="I236" s="2"/>
      <c r="J236" s="2"/>
      <c r="K236" s="2"/>
      <c r="L236" s="2"/>
      <c r="M236" s="2"/>
      <c r="N236" s="2"/>
      <c r="O236" s="2"/>
      <c r="P236" s="2"/>
    </row>
    <row r="237" spans="1:16" x14ac:dyDescent="0.2">
      <c r="A237" s="2"/>
      <c r="B237" s="2"/>
      <c r="C237" s="2"/>
      <c r="D237" s="2"/>
      <c r="E237" s="2"/>
      <c r="F237" s="2"/>
      <c r="G237" s="2"/>
      <c r="H237" s="2"/>
      <c r="I237" s="2"/>
      <c r="J237" s="2"/>
      <c r="K237" s="2"/>
      <c r="L237" s="2"/>
      <c r="M237" s="2"/>
      <c r="N237" s="2"/>
      <c r="O237" s="2"/>
      <c r="P237" s="2"/>
    </row>
    <row r="238" spans="1:16" x14ac:dyDescent="0.2">
      <c r="A238" s="2"/>
      <c r="B238" s="2"/>
      <c r="C238" s="2"/>
      <c r="D238" s="2"/>
      <c r="E238" s="2"/>
      <c r="F238" s="2"/>
      <c r="G238" s="2"/>
      <c r="H238" s="2"/>
      <c r="I238" s="2"/>
      <c r="J238" s="2"/>
      <c r="K238" s="2"/>
      <c r="L238" s="2"/>
      <c r="M238" s="2"/>
      <c r="N238" s="2"/>
      <c r="O238" s="2"/>
      <c r="P238" s="2"/>
    </row>
    <row r="239" spans="1:16" x14ac:dyDescent="0.2">
      <c r="A239" s="2"/>
      <c r="B239" s="2"/>
      <c r="C239" s="2"/>
      <c r="D239" s="2"/>
      <c r="E239" s="2"/>
      <c r="F239" s="2"/>
      <c r="G239" s="2"/>
      <c r="H239" s="2"/>
      <c r="I239" s="2"/>
      <c r="J239" s="2"/>
      <c r="K239" s="2"/>
      <c r="L239" s="2"/>
      <c r="M239" s="2"/>
      <c r="N239" s="2"/>
      <c r="O239" s="2"/>
      <c r="P239" s="2"/>
    </row>
    <row r="240" spans="1:16" x14ac:dyDescent="0.2">
      <c r="A240" s="2"/>
      <c r="B240" s="2"/>
      <c r="C240" s="2"/>
      <c r="D240" s="2"/>
      <c r="E240" s="2"/>
      <c r="F240" s="2"/>
      <c r="G240" s="2"/>
      <c r="H240" s="2"/>
      <c r="I240" s="2"/>
      <c r="J240" s="2"/>
      <c r="K240" s="2"/>
      <c r="L240" s="2"/>
      <c r="M240" s="2"/>
      <c r="N240" s="2"/>
      <c r="O240" s="2"/>
      <c r="P240" s="2"/>
    </row>
    <row r="241" spans="1:16" x14ac:dyDescent="0.2">
      <c r="A241" s="2"/>
      <c r="B241" s="2"/>
      <c r="C241" s="2"/>
      <c r="D241" s="2"/>
      <c r="E241" s="2"/>
      <c r="F241" s="2"/>
      <c r="G241" s="2"/>
      <c r="H241" s="2"/>
      <c r="I241" s="2"/>
      <c r="J241" s="2"/>
      <c r="K241" s="2"/>
      <c r="L241" s="2"/>
      <c r="M241" s="2"/>
      <c r="N241" s="2"/>
      <c r="O241" s="2"/>
      <c r="P241" s="2"/>
    </row>
    <row r="242" spans="1:16" x14ac:dyDescent="0.2">
      <c r="A242" s="2"/>
      <c r="B242" s="2"/>
      <c r="C242" s="2"/>
      <c r="D242" s="2"/>
      <c r="E242" s="2"/>
      <c r="F242" s="2"/>
      <c r="G242" s="2"/>
      <c r="H242" s="2"/>
      <c r="I242" s="2"/>
      <c r="J242" s="2"/>
      <c r="K242" s="2"/>
      <c r="L242" s="2"/>
      <c r="M242" s="2"/>
      <c r="N242" s="2"/>
      <c r="O242" s="2"/>
      <c r="P242" s="2"/>
    </row>
    <row r="243" spans="1:16" x14ac:dyDescent="0.2">
      <c r="A243" s="2"/>
      <c r="B243" s="2"/>
      <c r="C243" s="2"/>
      <c r="D243" s="2"/>
      <c r="E243" s="2"/>
      <c r="F243" s="2"/>
      <c r="G243" s="2"/>
      <c r="H243" s="2"/>
      <c r="I243" s="2"/>
      <c r="J243" s="2"/>
      <c r="K243" s="2"/>
      <c r="L243" s="2"/>
      <c r="M243" s="2"/>
      <c r="N243" s="2"/>
      <c r="O243" s="2"/>
      <c r="P243" s="2"/>
    </row>
    <row r="244" spans="1:16" x14ac:dyDescent="0.2">
      <c r="A244" s="2"/>
      <c r="B244" s="2"/>
      <c r="C244" s="2"/>
      <c r="D244" s="2"/>
      <c r="E244" s="2"/>
      <c r="F244" s="2"/>
      <c r="G244" s="2"/>
      <c r="H244" s="2"/>
      <c r="I244" s="2"/>
      <c r="J244" s="2"/>
      <c r="K244" s="2"/>
      <c r="L244" s="2"/>
      <c r="M244" s="2"/>
      <c r="N244" s="2"/>
      <c r="O244" s="2"/>
      <c r="P244" s="2"/>
    </row>
    <row r="245" spans="1:16" x14ac:dyDescent="0.2">
      <c r="A245" s="2"/>
      <c r="B245" s="2"/>
      <c r="C245" s="2"/>
      <c r="D245" s="2"/>
      <c r="E245" s="2"/>
      <c r="F245" s="2"/>
      <c r="G245" s="2"/>
      <c r="H245" s="2"/>
      <c r="I245" s="2"/>
      <c r="J245" s="2"/>
      <c r="K245" s="2"/>
      <c r="L245" s="2"/>
      <c r="M245" s="2"/>
      <c r="N245" s="2"/>
      <c r="O245" s="2"/>
      <c r="P245" s="2"/>
    </row>
    <row r="246" spans="1:16" x14ac:dyDescent="0.2">
      <c r="A246" s="2"/>
      <c r="B246" s="2"/>
      <c r="C246" s="2"/>
      <c r="D246" s="2"/>
      <c r="E246" s="2"/>
      <c r="F246" s="2"/>
      <c r="G246" s="2"/>
      <c r="H246" s="2"/>
      <c r="I246" s="2"/>
      <c r="J246" s="2"/>
      <c r="K246" s="2"/>
      <c r="L246" s="2"/>
      <c r="M246" s="2"/>
      <c r="N246" s="2"/>
      <c r="O246" s="2"/>
      <c r="P246" s="2"/>
    </row>
    <row r="247" spans="1:16" x14ac:dyDescent="0.2">
      <c r="A247" s="2"/>
      <c r="B247" s="2"/>
      <c r="C247" s="2"/>
      <c r="D247" s="2"/>
      <c r="E247" s="2"/>
      <c r="F247" s="2"/>
      <c r="G247" s="2"/>
      <c r="H247" s="2"/>
      <c r="I247" s="2"/>
      <c r="J247" s="2"/>
      <c r="K247" s="2"/>
      <c r="L247" s="2"/>
      <c r="M247" s="2"/>
      <c r="N247" s="2"/>
      <c r="O247" s="2"/>
      <c r="P247" s="2"/>
    </row>
    <row r="248" spans="1:16" x14ac:dyDescent="0.2">
      <c r="A248" s="2"/>
      <c r="B248" s="2"/>
      <c r="C248" s="2"/>
      <c r="D248" s="2"/>
      <c r="E248" s="2"/>
      <c r="F248" s="2"/>
      <c r="G248" s="2"/>
      <c r="H248" s="2"/>
      <c r="I248" s="2"/>
      <c r="J248" s="2"/>
      <c r="K248" s="2"/>
      <c r="L248" s="2"/>
      <c r="M248" s="2"/>
      <c r="N248" s="2"/>
      <c r="O248" s="2"/>
      <c r="P248" s="2"/>
    </row>
    <row r="249" spans="1:16" x14ac:dyDescent="0.2">
      <c r="A249" s="2"/>
      <c r="B249" s="2"/>
      <c r="C249" s="2"/>
      <c r="D249" s="2"/>
      <c r="E249" s="2"/>
      <c r="F249" s="2"/>
      <c r="G249" s="2"/>
      <c r="H249" s="2"/>
      <c r="I249" s="2"/>
      <c r="J249" s="2"/>
      <c r="K249" s="2"/>
      <c r="L249" s="2"/>
      <c r="M249" s="2"/>
      <c r="N249" s="2"/>
      <c r="O249" s="2"/>
      <c r="P249" s="2"/>
    </row>
    <row r="250" spans="1:16" x14ac:dyDescent="0.2">
      <c r="A250" s="2"/>
      <c r="B250" s="2"/>
      <c r="C250" s="2"/>
      <c r="D250" s="2"/>
      <c r="E250" s="2"/>
      <c r="F250" s="2"/>
      <c r="G250" s="2"/>
      <c r="H250" s="2"/>
      <c r="I250" s="2"/>
      <c r="J250" s="2"/>
      <c r="K250" s="2"/>
      <c r="L250" s="2"/>
      <c r="M250" s="2"/>
      <c r="N250" s="2"/>
      <c r="O250" s="2"/>
      <c r="P250" s="2"/>
    </row>
    <row r="251" spans="1:16" x14ac:dyDescent="0.2">
      <c r="A251" s="2"/>
      <c r="B251" s="2"/>
      <c r="C251" s="2"/>
      <c r="D251" s="2"/>
      <c r="E251" s="2"/>
      <c r="F251" s="2"/>
      <c r="G251" s="2"/>
      <c r="H251" s="2"/>
      <c r="I251" s="2"/>
      <c r="J251" s="2"/>
      <c r="K251" s="2"/>
      <c r="L251" s="2"/>
      <c r="M251" s="2"/>
      <c r="N251" s="2"/>
      <c r="O251" s="2"/>
      <c r="P251" s="2"/>
    </row>
    <row r="252" spans="1:16" x14ac:dyDescent="0.2">
      <c r="A252" s="2"/>
      <c r="B252" s="2"/>
      <c r="C252" s="2"/>
      <c r="D252" s="2"/>
      <c r="E252" s="2"/>
      <c r="F252" s="2"/>
      <c r="G252" s="2"/>
      <c r="H252" s="2"/>
      <c r="I252" s="2"/>
      <c r="J252" s="2"/>
      <c r="K252" s="2"/>
      <c r="L252" s="2"/>
      <c r="M252" s="2"/>
      <c r="N252" s="2"/>
      <c r="O252" s="2"/>
      <c r="P252" s="2"/>
    </row>
    <row r="253" spans="1:16" x14ac:dyDescent="0.2">
      <c r="A253" s="2"/>
      <c r="B253" s="2"/>
      <c r="C253" s="2"/>
      <c r="D253" s="2"/>
      <c r="E253" s="2"/>
      <c r="F253" s="2"/>
      <c r="G253" s="2"/>
      <c r="H253" s="2"/>
      <c r="I253" s="2"/>
      <c r="J253" s="2"/>
      <c r="K253" s="2"/>
      <c r="L253" s="2"/>
      <c r="M253" s="2"/>
      <c r="N253" s="2"/>
      <c r="O253" s="2"/>
      <c r="P253" s="2"/>
    </row>
    <row r="254" spans="1:16" x14ac:dyDescent="0.2">
      <c r="A254" s="2"/>
      <c r="B254" s="2"/>
      <c r="C254" s="2"/>
      <c r="D254" s="2"/>
      <c r="E254" s="2"/>
      <c r="F254" s="2"/>
      <c r="G254" s="2"/>
      <c r="H254" s="2"/>
      <c r="I254" s="2"/>
      <c r="J254" s="2"/>
      <c r="K254" s="2"/>
      <c r="L254" s="2"/>
      <c r="M254" s="2"/>
      <c r="N254" s="2"/>
      <c r="O254" s="2"/>
      <c r="P254" s="2"/>
    </row>
    <row r="255" spans="1:16" x14ac:dyDescent="0.2">
      <c r="A255" s="2"/>
      <c r="B255" s="2"/>
      <c r="C255" s="2"/>
      <c r="D255" s="2"/>
      <c r="E255" s="2"/>
      <c r="F255" s="2"/>
      <c r="G255" s="2"/>
      <c r="H255" s="2"/>
      <c r="I255" s="2"/>
      <c r="J255" s="2"/>
      <c r="K255" s="2"/>
      <c r="L255" s="2"/>
      <c r="M255" s="2"/>
      <c r="N255" s="2"/>
      <c r="O255" s="2"/>
      <c r="P255" s="2"/>
    </row>
    <row r="256" spans="1:16" x14ac:dyDescent="0.2">
      <c r="A256" s="2"/>
      <c r="B256" s="2"/>
      <c r="C256" s="2"/>
      <c r="D256" s="2"/>
      <c r="E256" s="2"/>
      <c r="F256" s="2"/>
      <c r="G256" s="2"/>
      <c r="H256" s="2"/>
      <c r="I256" s="2"/>
      <c r="J256" s="2"/>
      <c r="K256" s="2"/>
      <c r="L256" s="2"/>
      <c r="M256" s="2"/>
      <c r="N256" s="2"/>
      <c r="O256" s="2"/>
      <c r="P256" s="2"/>
    </row>
    <row r="257" spans="1:16" x14ac:dyDescent="0.2">
      <c r="A257" s="2"/>
      <c r="B257" s="2"/>
      <c r="C257" s="2"/>
      <c r="D257" s="2"/>
      <c r="E257" s="2"/>
      <c r="F257" s="2"/>
      <c r="G257" s="2"/>
      <c r="H257" s="2"/>
      <c r="I257" s="2"/>
      <c r="J257" s="2"/>
      <c r="K257" s="2"/>
      <c r="L257" s="2"/>
      <c r="M257" s="2"/>
      <c r="N257" s="2"/>
      <c r="O257" s="2"/>
      <c r="P257" s="2"/>
    </row>
    <row r="258" spans="1:16" x14ac:dyDescent="0.2">
      <c r="A258" s="2"/>
      <c r="B258" s="2"/>
      <c r="C258" s="2"/>
      <c r="D258" s="2"/>
      <c r="E258" s="2"/>
      <c r="F258" s="2"/>
      <c r="G258" s="2"/>
      <c r="H258" s="2"/>
      <c r="I258" s="2"/>
      <c r="J258" s="2"/>
      <c r="K258" s="2"/>
      <c r="L258" s="2"/>
      <c r="M258" s="2"/>
      <c r="N258" s="2"/>
      <c r="O258" s="2"/>
      <c r="P258" s="2"/>
    </row>
    <row r="259" spans="1:16" x14ac:dyDescent="0.2">
      <c r="A259" s="2"/>
      <c r="B259" s="2"/>
      <c r="C259" s="2"/>
      <c r="D259" s="2"/>
      <c r="E259" s="2"/>
      <c r="F259" s="2"/>
      <c r="G259" s="2"/>
      <c r="H259" s="2"/>
      <c r="I259" s="2"/>
      <c r="J259" s="2"/>
      <c r="K259" s="2"/>
      <c r="L259" s="2"/>
      <c r="M259" s="2"/>
      <c r="N259" s="2"/>
      <c r="O259" s="2"/>
      <c r="P259" s="2"/>
    </row>
    <row r="260" spans="1:16" x14ac:dyDescent="0.2">
      <c r="A260" s="2"/>
      <c r="B260" s="2"/>
      <c r="C260" s="2"/>
      <c r="D260" s="2"/>
      <c r="E260" s="2"/>
      <c r="F260" s="2"/>
      <c r="G260" s="2"/>
      <c r="H260" s="2"/>
      <c r="I260" s="2"/>
      <c r="J260" s="2"/>
      <c r="K260" s="2"/>
      <c r="L260" s="2"/>
      <c r="M260" s="2"/>
      <c r="N260" s="2"/>
      <c r="O260" s="2"/>
      <c r="P260" s="2"/>
    </row>
    <row r="261" spans="1:16" x14ac:dyDescent="0.2">
      <c r="A261" s="2"/>
      <c r="B261" s="2"/>
      <c r="C261" s="2"/>
      <c r="D261" s="2"/>
      <c r="E261" s="2"/>
      <c r="F261" s="2"/>
      <c r="G261" s="2"/>
      <c r="H261" s="2"/>
      <c r="I261" s="2"/>
      <c r="J261" s="2"/>
      <c r="K261" s="2"/>
      <c r="L261" s="2"/>
      <c r="M261" s="2"/>
      <c r="N261" s="2"/>
      <c r="O261" s="2"/>
      <c r="P261" s="2"/>
    </row>
    <row r="262" spans="1:16" x14ac:dyDescent="0.2">
      <c r="A262" s="2"/>
      <c r="B262" s="2"/>
      <c r="C262" s="2"/>
      <c r="D262" s="2"/>
      <c r="E262" s="2"/>
      <c r="F262" s="2"/>
      <c r="G262" s="2"/>
      <c r="H262" s="2"/>
      <c r="I262" s="2"/>
      <c r="J262" s="2"/>
      <c r="K262" s="2"/>
      <c r="L262" s="2"/>
      <c r="M262" s="2"/>
      <c r="N262" s="2"/>
      <c r="O262" s="2"/>
      <c r="P262" s="2"/>
    </row>
    <row r="263" spans="1:16" x14ac:dyDescent="0.2">
      <c r="A263" s="2"/>
      <c r="B263" s="2"/>
      <c r="C263" s="2"/>
      <c r="D263" s="2"/>
      <c r="E263" s="2"/>
      <c r="F263" s="2"/>
      <c r="G263" s="2"/>
      <c r="H263" s="2"/>
      <c r="I263" s="2"/>
      <c r="J263" s="2"/>
      <c r="K263" s="2"/>
      <c r="L263" s="2"/>
      <c r="M263" s="2"/>
      <c r="N263" s="2"/>
      <c r="O263" s="2"/>
      <c r="P263" s="2"/>
    </row>
    <row r="264" spans="1:16" x14ac:dyDescent="0.2">
      <c r="A264" s="2"/>
      <c r="B264" s="2"/>
      <c r="C264" s="2"/>
      <c r="D264" s="2"/>
      <c r="E264" s="2"/>
      <c r="F264" s="2"/>
      <c r="G264" s="2"/>
      <c r="H264" s="2"/>
      <c r="I264" s="2"/>
      <c r="J264" s="2"/>
      <c r="K264" s="2"/>
      <c r="L264" s="2"/>
      <c r="M264" s="2"/>
      <c r="N264" s="2"/>
      <c r="O264" s="2"/>
      <c r="P264" s="2"/>
    </row>
    <row r="265" spans="1:16" x14ac:dyDescent="0.2">
      <c r="A265" s="2"/>
      <c r="B265" s="2"/>
      <c r="C265" s="2"/>
      <c r="D265" s="2"/>
      <c r="E265" s="2"/>
      <c r="F265" s="2"/>
      <c r="G265" s="2"/>
      <c r="H265" s="2"/>
      <c r="I265" s="2"/>
      <c r="J265" s="2"/>
      <c r="K265" s="2"/>
      <c r="L265" s="2"/>
      <c r="M265" s="2"/>
      <c r="N265" s="2"/>
      <c r="O265" s="2"/>
      <c r="P265" s="2"/>
    </row>
    <row r="266" spans="1:16" x14ac:dyDescent="0.2">
      <c r="A266" s="2"/>
      <c r="B266" s="2"/>
      <c r="C266" s="2"/>
      <c r="D266" s="2"/>
      <c r="E266" s="2"/>
      <c r="F266" s="2"/>
      <c r="G266" s="2"/>
      <c r="H266" s="2"/>
      <c r="I266" s="2"/>
      <c r="J266" s="2"/>
      <c r="K266" s="2"/>
      <c r="L266" s="2"/>
      <c r="M266" s="2"/>
      <c r="N266" s="2"/>
      <c r="O266" s="2"/>
      <c r="P266" s="2"/>
    </row>
    <row r="267" spans="1:16" x14ac:dyDescent="0.2">
      <c r="A267" s="2"/>
      <c r="B267" s="2"/>
      <c r="C267" s="2"/>
      <c r="D267" s="2"/>
      <c r="E267" s="2"/>
      <c r="F267" s="2"/>
      <c r="G267" s="2"/>
      <c r="H267" s="2"/>
      <c r="I267" s="2"/>
      <c r="J267" s="2"/>
      <c r="K267" s="2"/>
      <c r="L267" s="2"/>
      <c r="M267" s="2"/>
      <c r="N267" s="2"/>
      <c r="O267" s="2"/>
      <c r="P267" s="2"/>
    </row>
    <row r="268" spans="1:16" x14ac:dyDescent="0.2">
      <c r="A268" s="2"/>
      <c r="B268" s="2"/>
      <c r="C268" s="2"/>
      <c r="D268" s="2"/>
      <c r="E268" s="2"/>
      <c r="F268" s="2"/>
      <c r="G268" s="2"/>
      <c r="H268" s="2"/>
      <c r="I268" s="2"/>
      <c r="J268" s="2"/>
      <c r="K268" s="2"/>
      <c r="L268" s="2"/>
      <c r="M268" s="2"/>
      <c r="N268" s="2"/>
      <c r="O268" s="2"/>
      <c r="P268" s="2"/>
    </row>
    <row r="269" spans="1:16" x14ac:dyDescent="0.2">
      <c r="A269" s="2"/>
      <c r="B269" s="2"/>
      <c r="C269" s="2"/>
      <c r="D269" s="2"/>
      <c r="E269" s="2"/>
      <c r="F269" s="2"/>
      <c r="G269" s="2"/>
      <c r="H269" s="2"/>
      <c r="I269" s="2"/>
      <c r="J269" s="2"/>
      <c r="K269" s="2"/>
      <c r="L269" s="2"/>
      <c r="M269" s="2"/>
      <c r="N269" s="2"/>
      <c r="O269" s="2"/>
      <c r="P269" s="2"/>
    </row>
    <row r="270" spans="1:16" x14ac:dyDescent="0.2">
      <c r="A270" s="2"/>
      <c r="B270" s="2"/>
      <c r="C270" s="2"/>
      <c r="D270" s="2"/>
      <c r="E270" s="2"/>
      <c r="F270" s="2"/>
      <c r="G270" s="2"/>
      <c r="H270" s="2"/>
      <c r="I270" s="2"/>
      <c r="J270" s="2"/>
      <c r="K270" s="2"/>
      <c r="L270" s="2"/>
      <c r="M270" s="2"/>
      <c r="N270" s="2"/>
      <c r="O270" s="2"/>
      <c r="P270" s="2"/>
    </row>
    <row r="271" spans="1:16" x14ac:dyDescent="0.2">
      <c r="A271" s="2"/>
      <c r="B271" s="2"/>
      <c r="C271" s="2"/>
      <c r="D271" s="2"/>
      <c r="E271" s="2"/>
      <c r="F271" s="2"/>
      <c r="G271" s="2"/>
      <c r="H271" s="2"/>
      <c r="I271" s="2"/>
      <c r="J271" s="2"/>
      <c r="K271" s="2"/>
      <c r="L271" s="2"/>
      <c r="M271" s="2"/>
      <c r="N271" s="2"/>
      <c r="O271" s="2"/>
      <c r="P271" s="2"/>
    </row>
    <row r="272" spans="1:16" x14ac:dyDescent="0.2">
      <c r="A272" s="2"/>
      <c r="B272" s="2"/>
      <c r="C272" s="2"/>
      <c r="D272" s="2"/>
      <c r="E272" s="2"/>
      <c r="F272" s="2"/>
      <c r="G272" s="2"/>
      <c r="H272" s="2"/>
      <c r="I272" s="2"/>
      <c r="J272" s="2"/>
      <c r="K272" s="2"/>
      <c r="L272" s="2"/>
      <c r="M272" s="2"/>
      <c r="N272" s="2"/>
      <c r="O272" s="2"/>
      <c r="P272" s="2"/>
    </row>
    <row r="273" spans="1:16" x14ac:dyDescent="0.2">
      <c r="A273" s="2"/>
      <c r="B273" s="2"/>
      <c r="C273" s="2"/>
      <c r="D273" s="2"/>
      <c r="E273" s="2"/>
      <c r="F273" s="2"/>
      <c r="G273" s="2"/>
      <c r="H273" s="2"/>
      <c r="I273" s="2"/>
      <c r="J273" s="2"/>
      <c r="K273" s="2"/>
      <c r="L273" s="2"/>
      <c r="M273" s="2"/>
      <c r="N273" s="2"/>
      <c r="O273" s="2"/>
      <c r="P273" s="2"/>
    </row>
    <row r="274" spans="1:16" x14ac:dyDescent="0.2">
      <c r="A274" s="2"/>
      <c r="B274" s="2"/>
      <c r="C274" s="2"/>
      <c r="D274" s="2"/>
      <c r="E274" s="2"/>
      <c r="F274" s="2"/>
      <c r="G274" s="2"/>
      <c r="H274" s="2"/>
      <c r="I274" s="2"/>
      <c r="J274" s="2"/>
      <c r="K274" s="2"/>
      <c r="L274" s="2"/>
      <c r="M274" s="2"/>
      <c r="N274" s="2"/>
      <c r="O274" s="2"/>
      <c r="P274" s="2"/>
    </row>
    <row r="275" spans="1:16" x14ac:dyDescent="0.2">
      <c r="A275" s="2"/>
      <c r="B275" s="2"/>
      <c r="C275" s="2"/>
      <c r="D275" s="2"/>
      <c r="E275" s="2"/>
      <c r="F275" s="2"/>
      <c r="G275" s="2"/>
      <c r="H275" s="2"/>
      <c r="I275" s="2"/>
      <c r="J275" s="2"/>
      <c r="K275" s="2"/>
      <c r="L275" s="2"/>
      <c r="M275" s="2"/>
      <c r="N275" s="2"/>
      <c r="O275" s="2"/>
      <c r="P275" s="2"/>
    </row>
    <row r="276" spans="1:16" x14ac:dyDescent="0.2">
      <c r="A276" s="2"/>
      <c r="B276" s="2"/>
      <c r="C276" s="2"/>
      <c r="D276" s="2"/>
      <c r="E276" s="2"/>
      <c r="F276" s="2"/>
      <c r="G276" s="2"/>
      <c r="H276" s="2"/>
      <c r="I276" s="2"/>
      <c r="J276" s="2"/>
      <c r="K276" s="2"/>
      <c r="L276" s="2"/>
      <c r="M276" s="2"/>
      <c r="N276" s="2"/>
      <c r="O276" s="2"/>
      <c r="P276" s="2"/>
    </row>
    <row r="277" spans="1:16" x14ac:dyDescent="0.2">
      <c r="A277" s="2"/>
      <c r="B277" s="2"/>
      <c r="C277" s="2"/>
      <c r="D277" s="2"/>
      <c r="E277" s="2"/>
      <c r="F277" s="2"/>
      <c r="G277" s="2"/>
      <c r="H277" s="2"/>
      <c r="I277" s="2"/>
      <c r="J277" s="2"/>
      <c r="K277" s="2"/>
      <c r="L277" s="2"/>
      <c r="M277" s="2"/>
      <c r="N277" s="2"/>
      <c r="O277" s="2"/>
      <c r="P277" s="2"/>
    </row>
    <row r="278" spans="1:16" x14ac:dyDescent="0.2">
      <c r="A278" s="2"/>
      <c r="B278" s="2"/>
      <c r="C278" s="2"/>
      <c r="D278" s="2"/>
      <c r="E278" s="2"/>
      <c r="F278" s="2"/>
      <c r="G278" s="2"/>
      <c r="H278" s="2"/>
      <c r="I278" s="2"/>
      <c r="J278" s="2"/>
      <c r="K278" s="2"/>
      <c r="L278" s="2"/>
      <c r="M278" s="2"/>
      <c r="N278" s="2"/>
      <c r="O278" s="2"/>
      <c r="P278" s="2"/>
    </row>
    <row r="279" spans="1:16" x14ac:dyDescent="0.2">
      <c r="A279" s="2"/>
      <c r="B279" s="2"/>
      <c r="C279" s="2"/>
      <c r="D279" s="2"/>
      <c r="E279" s="2"/>
      <c r="F279" s="2"/>
      <c r="G279" s="2"/>
      <c r="H279" s="2"/>
      <c r="I279" s="2"/>
      <c r="J279" s="2"/>
      <c r="K279" s="2"/>
      <c r="L279" s="2"/>
      <c r="M279" s="2"/>
      <c r="N279" s="2"/>
      <c r="O279" s="2"/>
      <c r="P279" s="2"/>
    </row>
    <row r="280" spans="1:16" x14ac:dyDescent="0.2">
      <c r="A280" s="2"/>
      <c r="B280" s="2"/>
      <c r="C280" s="2"/>
      <c r="D280" s="2"/>
      <c r="E280" s="2"/>
      <c r="F280" s="2"/>
      <c r="G280" s="2"/>
      <c r="H280" s="2"/>
      <c r="I280" s="2"/>
      <c r="J280" s="2"/>
      <c r="K280" s="2"/>
      <c r="L280" s="2"/>
      <c r="M280" s="2"/>
      <c r="N280" s="2"/>
      <c r="O280" s="2"/>
      <c r="P280" s="2"/>
    </row>
    <row r="281" spans="1:16" x14ac:dyDescent="0.2">
      <c r="A281" s="2"/>
      <c r="B281" s="2"/>
      <c r="C281" s="2"/>
      <c r="D281" s="2"/>
      <c r="E281" s="2"/>
      <c r="F281" s="2"/>
      <c r="G281" s="2"/>
      <c r="H281" s="2"/>
      <c r="I281" s="2"/>
      <c r="J281" s="2"/>
      <c r="K281" s="2"/>
      <c r="L281" s="2"/>
      <c r="M281" s="2"/>
      <c r="N281" s="2"/>
      <c r="O281" s="2"/>
      <c r="P281" s="2"/>
    </row>
    <row r="282" spans="1:16" x14ac:dyDescent="0.2">
      <c r="A282" s="2"/>
      <c r="B282" s="2"/>
      <c r="C282" s="2"/>
      <c r="D282" s="2"/>
      <c r="E282" s="2"/>
      <c r="F282" s="2"/>
      <c r="G282" s="2"/>
      <c r="H282" s="2"/>
      <c r="I282" s="2"/>
      <c r="J282" s="2"/>
      <c r="K282" s="2"/>
      <c r="L282" s="2"/>
      <c r="M282" s="2"/>
      <c r="N282" s="2"/>
      <c r="O282" s="2"/>
      <c r="P282" s="2"/>
    </row>
    <row r="283" spans="1:16" x14ac:dyDescent="0.2">
      <c r="A283" s="2"/>
      <c r="B283" s="2"/>
      <c r="C283" s="2"/>
      <c r="D283" s="2"/>
      <c r="E283" s="2"/>
      <c r="F283" s="2"/>
      <c r="G283" s="2"/>
      <c r="H283" s="2"/>
      <c r="I283" s="2"/>
      <c r="J283" s="2"/>
      <c r="K283" s="2"/>
      <c r="L283" s="2"/>
      <c r="M283" s="2"/>
      <c r="N283" s="2"/>
      <c r="O283" s="2"/>
      <c r="P283" s="2"/>
    </row>
    <row r="284" spans="1:16" x14ac:dyDescent="0.2">
      <c r="A284" s="2"/>
      <c r="B284" s="2"/>
      <c r="C284" s="2"/>
      <c r="D284" s="2"/>
      <c r="E284" s="2"/>
      <c r="F284" s="2"/>
      <c r="G284" s="2"/>
      <c r="H284" s="2"/>
      <c r="I284" s="2"/>
      <c r="J284" s="2"/>
      <c r="K284" s="2"/>
      <c r="L284" s="2"/>
      <c r="M284" s="2"/>
      <c r="N284" s="2"/>
      <c r="O284" s="2"/>
      <c r="P284" s="2"/>
    </row>
    <row r="285" spans="1:16" x14ac:dyDescent="0.2">
      <c r="A285" s="2"/>
      <c r="B285" s="2"/>
      <c r="C285" s="2"/>
      <c r="D285" s="2"/>
      <c r="E285" s="2"/>
      <c r="F285" s="2"/>
      <c r="G285" s="2"/>
      <c r="H285" s="2"/>
      <c r="I285" s="2"/>
      <c r="J285" s="2"/>
      <c r="K285" s="2"/>
      <c r="L285" s="2"/>
      <c r="M285" s="2"/>
      <c r="N285" s="2"/>
      <c r="O285" s="2"/>
      <c r="P285" s="2"/>
    </row>
    <row r="286" spans="1:16" x14ac:dyDescent="0.2">
      <c r="A286" s="2"/>
      <c r="B286" s="2"/>
      <c r="C286" s="2"/>
      <c r="D286" s="2"/>
      <c r="E286" s="2"/>
      <c r="F286" s="2"/>
      <c r="G286" s="2"/>
      <c r="H286" s="2"/>
      <c r="I286" s="2"/>
      <c r="J286" s="2"/>
      <c r="K286" s="2"/>
      <c r="L286" s="2"/>
      <c r="M286" s="2"/>
      <c r="N286" s="2"/>
      <c r="O286" s="2"/>
      <c r="P286" s="2"/>
    </row>
    <row r="287" spans="1:16" x14ac:dyDescent="0.2">
      <c r="A287" s="2"/>
      <c r="B287" s="2"/>
      <c r="C287" s="2"/>
      <c r="D287" s="2"/>
      <c r="E287" s="2"/>
      <c r="F287" s="2"/>
      <c r="G287" s="2"/>
      <c r="H287" s="2"/>
      <c r="I287" s="2"/>
      <c r="J287" s="2"/>
      <c r="K287" s="2"/>
      <c r="L287" s="2"/>
      <c r="M287" s="2"/>
      <c r="N287" s="2"/>
      <c r="O287" s="2"/>
      <c r="P287" s="2"/>
    </row>
    <row r="288" spans="1:16" x14ac:dyDescent="0.2">
      <c r="A288" s="2"/>
      <c r="B288" s="2"/>
      <c r="C288" s="2"/>
      <c r="D288" s="2"/>
      <c r="E288" s="2"/>
      <c r="F288" s="2"/>
      <c r="G288" s="2"/>
      <c r="H288" s="2"/>
      <c r="I288" s="2"/>
      <c r="J288" s="2"/>
      <c r="K288" s="2"/>
      <c r="L288" s="2"/>
      <c r="M288" s="2"/>
      <c r="N288" s="2"/>
      <c r="O288" s="2"/>
      <c r="P288" s="2"/>
    </row>
    <row r="289" spans="1:16" x14ac:dyDescent="0.2">
      <c r="A289" s="2"/>
      <c r="B289" s="2"/>
      <c r="C289" s="2"/>
      <c r="D289" s="2"/>
      <c r="E289" s="2"/>
      <c r="F289" s="2"/>
      <c r="G289" s="2"/>
      <c r="H289" s="2"/>
      <c r="I289" s="2"/>
      <c r="J289" s="2"/>
      <c r="K289" s="2"/>
      <c r="L289" s="2"/>
      <c r="M289" s="2"/>
      <c r="N289" s="2"/>
      <c r="O289" s="2"/>
      <c r="P289" s="2"/>
    </row>
    <row r="290" spans="1:16" x14ac:dyDescent="0.2">
      <c r="A290" s="2"/>
      <c r="B290" s="2"/>
      <c r="C290" s="2"/>
      <c r="D290" s="2"/>
      <c r="E290" s="2"/>
      <c r="F290" s="2"/>
      <c r="G290" s="2"/>
      <c r="H290" s="2"/>
      <c r="I290" s="2"/>
      <c r="J290" s="2"/>
      <c r="K290" s="2"/>
      <c r="L290" s="2"/>
      <c r="M290" s="2"/>
      <c r="N290" s="2"/>
      <c r="O290" s="2"/>
      <c r="P290" s="2"/>
    </row>
    <row r="291" spans="1:16" x14ac:dyDescent="0.2">
      <c r="A291" s="2"/>
      <c r="B291" s="2"/>
      <c r="C291" s="2"/>
      <c r="D291" s="2"/>
      <c r="E291" s="2"/>
      <c r="F291" s="2"/>
      <c r="G291" s="2"/>
      <c r="H291" s="2"/>
      <c r="I291" s="2"/>
      <c r="J291" s="2"/>
      <c r="K291" s="2"/>
      <c r="L291" s="2"/>
      <c r="M291" s="2"/>
      <c r="N291" s="2"/>
      <c r="O291" s="2"/>
      <c r="P291" s="2"/>
    </row>
    <row r="292" spans="1:16" x14ac:dyDescent="0.2">
      <c r="A292" s="2"/>
      <c r="B292" s="2"/>
      <c r="C292" s="2"/>
      <c r="D292" s="2"/>
      <c r="E292" s="2"/>
      <c r="F292" s="2"/>
      <c r="G292" s="2"/>
      <c r="H292" s="2"/>
      <c r="I292" s="2"/>
      <c r="J292" s="2"/>
      <c r="K292" s="2"/>
      <c r="L292" s="2"/>
      <c r="M292" s="2"/>
      <c r="N292" s="2"/>
      <c r="O292" s="2"/>
      <c r="P292" s="2"/>
    </row>
    <row r="293" spans="1:16" x14ac:dyDescent="0.2">
      <c r="A293" s="2"/>
      <c r="B293" s="2"/>
      <c r="C293" s="2"/>
      <c r="D293" s="2"/>
      <c r="E293" s="2"/>
      <c r="F293" s="2"/>
      <c r="G293" s="2"/>
      <c r="H293" s="2"/>
      <c r="I293" s="2"/>
      <c r="J293" s="2"/>
      <c r="K293" s="2"/>
      <c r="L293" s="2"/>
      <c r="M293" s="2"/>
      <c r="N293" s="2"/>
      <c r="O293" s="2"/>
      <c r="P293" s="2"/>
    </row>
    <row r="294" spans="1:16" x14ac:dyDescent="0.2">
      <c r="A294" s="2"/>
      <c r="B294" s="2"/>
      <c r="C294" s="2"/>
      <c r="D294" s="2"/>
      <c r="E294" s="2"/>
      <c r="F294" s="2"/>
      <c r="G294" s="2"/>
      <c r="H294" s="2"/>
      <c r="I294" s="2"/>
      <c r="J294" s="2"/>
      <c r="K294" s="2"/>
      <c r="L294" s="2"/>
      <c r="M294" s="2"/>
      <c r="N294" s="2"/>
      <c r="O294" s="2"/>
      <c r="P294" s="2"/>
    </row>
    <row r="295" spans="1:16" x14ac:dyDescent="0.2">
      <c r="A295" s="2"/>
      <c r="B295" s="2"/>
      <c r="C295" s="2"/>
      <c r="D295" s="2"/>
      <c r="E295" s="2"/>
      <c r="F295" s="2"/>
      <c r="G295" s="2"/>
      <c r="H295" s="2"/>
      <c r="I295" s="2"/>
      <c r="J295" s="2"/>
      <c r="K295" s="2"/>
      <c r="L295" s="2"/>
      <c r="M295" s="2"/>
      <c r="N295" s="2"/>
      <c r="O295" s="2"/>
      <c r="P295" s="2"/>
    </row>
    <row r="296" spans="1:16" x14ac:dyDescent="0.2">
      <c r="A296" s="2"/>
      <c r="B296" s="2"/>
      <c r="C296" s="2"/>
      <c r="D296" s="2"/>
      <c r="E296" s="2"/>
      <c r="F296" s="2"/>
      <c r="G296" s="2"/>
      <c r="H296" s="2"/>
      <c r="I296" s="2"/>
      <c r="J296" s="2"/>
      <c r="K296" s="2"/>
      <c r="L296" s="2"/>
      <c r="M296" s="2"/>
      <c r="N296" s="2"/>
      <c r="O296" s="2"/>
      <c r="P296" s="2"/>
    </row>
    <row r="297" spans="1:16" x14ac:dyDescent="0.2">
      <c r="A297" s="2"/>
      <c r="B297" s="2"/>
      <c r="C297" s="2"/>
      <c r="D297" s="2"/>
      <c r="E297" s="2"/>
      <c r="F297" s="2"/>
      <c r="G297" s="2"/>
      <c r="H297" s="2"/>
      <c r="I297" s="2"/>
      <c r="J297" s="2"/>
      <c r="K297" s="2"/>
      <c r="L297" s="2"/>
      <c r="M297" s="2"/>
      <c r="N297" s="2"/>
      <c r="O297" s="2"/>
      <c r="P297" s="2"/>
    </row>
    <row r="298" spans="1:16" x14ac:dyDescent="0.2">
      <c r="A298" s="2"/>
      <c r="B298" s="2"/>
      <c r="C298" s="2"/>
      <c r="D298" s="2"/>
      <c r="E298" s="2"/>
      <c r="F298" s="2"/>
      <c r="G298" s="2"/>
      <c r="H298" s="2"/>
      <c r="I298" s="2"/>
      <c r="J298" s="2"/>
      <c r="K298" s="2"/>
      <c r="L298" s="2"/>
      <c r="M298" s="2"/>
      <c r="N298" s="2"/>
      <c r="O298" s="2"/>
      <c r="P298" s="2"/>
    </row>
    <row r="299" spans="1:16" x14ac:dyDescent="0.2">
      <c r="A299" s="2"/>
      <c r="B299" s="2"/>
      <c r="C299" s="2"/>
      <c r="D299" s="2"/>
      <c r="E299" s="2"/>
      <c r="F299" s="2"/>
      <c r="G299" s="2"/>
      <c r="H299" s="2"/>
      <c r="I299" s="2"/>
      <c r="J299" s="2"/>
      <c r="K299" s="2"/>
      <c r="L299" s="2"/>
      <c r="M299" s="2"/>
      <c r="N299" s="2"/>
      <c r="O299" s="2"/>
      <c r="P299" s="2"/>
    </row>
    <row r="300" spans="1:16" x14ac:dyDescent="0.2">
      <c r="A300" s="2"/>
      <c r="B300" s="2"/>
      <c r="C300" s="2"/>
      <c r="D300" s="2"/>
      <c r="E300" s="2"/>
      <c r="F300" s="2"/>
      <c r="G300" s="2"/>
      <c r="H300" s="2"/>
      <c r="I300" s="2"/>
      <c r="J300" s="2"/>
      <c r="K300" s="2"/>
      <c r="L300" s="2"/>
      <c r="M300" s="2"/>
      <c r="N300" s="2"/>
      <c r="O300" s="2"/>
      <c r="P300" s="2"/>
    </row>
    <row r="301" spans="1:16" x14ac:dyDescent="0.2">
      <c r="A301" s="2"/>
      <c r="B301" s="2"/>
      <c r="C301" s="2"/>
      <c r="D301" s="2"/>
      <c r="E301" s="2"/>
      <c r="F301" s="2"/>
      <c r="G301" s="2"/>
      <c r="H301" s="2"/>
      <c r="I301" s="2"/>
      <c r="J301" s="2"/>
      <c r="K301" s="2"/>
      <c r="L301" s="2"/>
      <c r="M301" s="2"/>
      <c r="N301" s="2"/>
      <c r="O301" s="2"/>
      <c r="P301" s="2"/>
    </row>
    <row r="302" spans="1:16" x14ac:dyDescent="0.2">
      <c r="A302" s="2"/>
      <c r="B302" s="2"/>
      <c r="C302" s="2"/>
      <c r="D302" s="2"/>
      <c r="E302" s="2"/>
      <c r="F302" s="2"/>
      <c r="G302" s="2"/>
      <c r="H302" s="2"/>
      <c r="I302" s="2"/>
      <c r="J302" s="2"/>
      <c r="K302" s="2"/>
      <c r="L302" s="2"/>
      <c r="M302" s="2"/>
      <c r="N302" s="2"/>
      <c r="O302" s="2"/>
      <c r="P302" s="2"/>
    </row>
    <row r="303" spans="1:16" x14ac:dyDescent="0.2">
      <c r="A303" s="2"/>
      <c r="B303" s="2"/>
      <c r="C303" s="2"/>
      <c r="D303" s="2"/>
      <c r="E303" s="2"/>
      <c r="F303" s="2"/>
      <c r="G303" s="2"/>
      <c r="H303" s="2"/>
      <c r="I303" s="2"/>
      <c r="J303" s="2"/>
      <c r="K303" s="2"/>
      <c r="L303" s="2"/>
      <c r="M303" s="2"/>
      <c r="N303" s="2"/>
      <c r="O303" s="2"/>
      <c r="P303" s="2"/>
    </row>
    <row r="304" spans="1:16" x14ac:dyDescent="0.2">
      <c r="A304" s="2"/>
      <c r="B304" s="2"/>
      <c r="C304" s="2"/>
      <c r="D304" s="2"/>
      <c r="E304" s="2"/>
      <c r="F304" s="2"/>
      <c r="G304" s="2"/>
      <c r="H304" s="2"/>
      <c r="I304" s="2"/>
      <c r="J304" s="2"/>
      <c r="K304" s="2"/>
      <c r="L304" s="2"/>
      <c r="M304" s="2"/>
      <c r="N304" s="2"/>
      <c r="O304" s="2"/>
      <c r="P304" s="2"/>
    </row>
    <row r="305" spans="1:16" x14ac:dyDescent="0.2">
      <c r="A305" s="2"/>
      <c r="B305" s="2"/>
      <c r="C305" s="2"/>
      <c r="D305" s="2"/>
      <c r="E305" s="2"/>
      <c r="F305" s="2"/>
      <c r="G305" s="2"/>
      <c r="H305" s="2"/>
      <c r="I305" s="2"/>
      <c r="J305" s="2"/>
      <c r="K305" s="2"/>
      <c r="L305" s="2"/>
      <c r="M305" s="2"/>
      <c r="N305" s="2"/>
      <c r="O305" s="2"/>
      <c r="P305" s="2"/>
    </row>
    <row r="306" spans="1:16" x14ac:dyDescent="0.2">
      <c r="A306" s="2"/>
      <c r="B306" s="2"/>
      <c r="C306" s="2"/>
      <c r="D306" s="2"/>
      <c r="E306" s="2"/>
      <c r="F306" s="2"/>
      <c r="G306" s="2"/>
      <c r="H306" s="2"/>
      <c r="I306" s="2"/>
      <c r="J306" s="2"/>
      <c r="K306" s="2"/>
      <c r="L306" s="2"/>
      <c r="M306" s="2"/>
      <c r="N306" s="2"/>
      <c r="O306" s="2"/>
      <c r="P306" s="2"/>
    </row>
    <row r="307" spans="1:16" x14ac:dyDescent="0.2">
      <c r="A307" s="2"/>
      <c r="B307" s="2"/>
      <c r="C307" s="2"/>
      <c r="D307" s="2"/>
      <c r="E307" s="2"/>
      <c r="F307" s="2"/>
      <c r="G307" s="2"/>
      <c r="H307" s="2"/>
      <c r="I307" s="2"/>
      <c r="J307" s="2"/>
      <c r="K307" s="2"/>
      <c r="L307" s="2"/>
      <c r="M307" s="2"/>
      <c r="N307" s="2"/>
      <c r="O307" s="2"/>
      <c r="P307" s="2"/>
    </row>
    <row r="308" spans="1:16" x14ac:dyDescent="0.2">
      <c r="A308" s="2"/>
      <c r="B308" s="2"/>
      <c r="C308" s="2"/>
      <c r="D308" s="2"/>
      <c r="E308" s="2"/>
      <c r="F308" s="2"/>
      <c r="G308" s="2"/>
      <c r="H308" s="2"/>
      <c r="I308" s="2"/>
      <c r="J308" s="2"/>
      <c r="K308" s="2"/>
      <c r="L308" s="2"/>
      <c r="M308" s="2"/>
      <c r="N308" s="2"/>
      <c r="O308" s="2"/>
      <c r="P308" s="2"/>
    </row>
    <row r="309" spans="1:16" x14ac:dyDescent="0.2">
      <c r="A309" s="2"/>
      <c r="B309" s="2"/>
      <c r="C309" s="2"/>
      <c r="D309" s="2"/>
      <c r="E309" s="2"/>
      <c r="F309" s="2"/>
      <c r="G309" s="2"/>
      <c r="H309" s="2"/>
      <c r="I309" s="2"/>
      <c r="J309" s="2"/>
      <c r="K309" s="2"/>
      <c r="L309" s="2"/>
      <c r="M309" s="2"/>
      <c r="N309" s="2"/>
      <c r="O309" s="2"/>
      <c r="P309" s="2"/>
    </row>
    <row r="310" spans="1:16" x14ac:dyDescent="0.2">
      <c r="A310" s="2"/>
      <c r="B310" s="2"/>
      <c r="C310" s="2"/>
      <c r="D310" s="2"/>
      <c r="E310" s="2"/>
      <c r="F310" s="2"/>
      <c r="G310" s="2"/>
      <c r="H310" s="2"/>
      <c r="I310" s="2"/>
      <c r="J310" s="2"/>
      <c r="K310" s="2"/>
      <c r="L310" s="2"/>
      <c r="M310" s="2"/>
      <c r="N310" s="2"/>
      <c r="O310" s="2"/>
      <c r="P310" s="2"/>
    </row>
    <row r="311" spans="1:16" x14ac:dyDescent="0.2">
      <c r="A311" s="2"/>
      <c r="B311" s="2"/>
      <c r="C311" s="2"/>
      <c r="D311" s="2"/>
      <c r="E311" s="2"/>
      <c r="F311" s="2"/>
      <c r="G311" s="2"/>
      <c r="H311" s="2"/>
      <c r="I311" s="2"/>
      <c r="J311" s="2"/>
      <c r="K311" s="2"/>
      <c r="L311" s="2"/>
      <c r="M311" s="2"/>
      <c r="N311" s="2"/>
      <c r="O311" s="2"/>
      <c r="P311" s="2"/>
    </row>
    <row r="312" spans="1:16" x14ac:dyDescent="0.2">
      <c r="A312" s="2"/>
      <c r="B312" s="2"/>
      <c r="C312" s="2"/>
      <c r="D312" s="2"/>
      <c r="E312" s="2"/>
      <c r="F312" s="2"/>
      <c r="G312" s="2"/>
      <c r="H312" s="2"/>
      <c r="I312" s="2"/>
      <c r="J312" s="2"/>
      <c r="K312" s="2"/>
      <c r="L312" s="2"/>
      <c r="M312" s="2"/>
      <c r="N312" s="2"/>
      <c r="O312" s="2"/>
      <c r="P312" s="2"/>
    </row>
    <row r="313" spans="1:16" x14ac:dyDescent="0.2">
      <c r="A313" s="2"/>
      <c r="B313" s="2"/>
      <c r="C313" s="2"/>
      <c r="D313" s="2"/>
      <c r="E313" s="2"/>
      <c r="F313" s="2"/>
      <c r="G313" s="2"/>
      <c r="H313" s="2"/>
      <c r="I313" s="2"/>
      <c r="J313" s="2"/>
      <c r="K313" s="2"/>
      <c r="L313" s="2"/>
      <c r="M313" s="2"/>
      <c r="N313" s="2"/>
      <c r="O313" s="2"/>
      <c r="P313" s="2"/>
    </row>
    <row r="314" spans="1:16" x14ac:dyDescent="0.2">
      <c r="A314" s="2"/>
      <c r="B314" s="2"/>
      <c r="C314" s="2"/>
      <c r="D314" s="2"/>
      <c r="E314" s="2"/>
      <c r="F314" s="2"/>
      <c r="G314" s="2"/>
      <c r="H314" s="2"/>
      <c r="I314" s="2"/>
      <c r="J314" s="2"/>
      <c r="K314" s="2"/>
      <c r="L314" s="2"/>
      <c r="M314" s="2"/>
      <c r="N314" s="2"/>
      <c r="O314" s="2"/>
      <c r="P314" s="2"/>
    </row>
    <row r="315" spans="1:16" x14ac:dyDescent="0.2">
      <c r="A315" s="2"/>
      <c r="B315" s="2"/>
      <c r="C315" s="2"/>
      <c r="D315" s="2"/>
      <c r="E315" s="2"/>
      <c r="F315" s="2"/>
      <c r="G315" s="2"/>
      <c r="H315" s="2"/>
      <c r="I315" s="2"/>
      <c r="J315" s="2"/>
      <c r="K315" s="2"/>
      <c r="L315" s="2"/>
      <c r="M315" s="2"/>
      <c r="N315" s="2"/>
      <c r="O315" s="2"/>
      <c r="P315" s="2"/>
    </row>
    <row r="316" spans="1:16" x14ac:dyDescent="0.2">
      <c r="A316" s="2"/>
      <c r="B316" s="2"/>
      <c r="C316" s="2"/>
      <c r="D316" s="2"/>
      <c r="E316" s="2"/>
      <c r="F316" s="2"/>
      <c r="G316" s="2"/>
      <c r="H316" s="2"/>
      <c r="I316" s="2"/>
      <c r="J316" s="2"/>
      <c r="K316" s="2"/>
      <c r="L316" s="2"/>
      <c r="M316" s="2"/>
      <c r="N316" s="2"/>
      <c r="O316" s="2"/>
      <c r="P316" s="2"/>
    </row>
    <row r="317" spans="1:16" x14ac:dyDescent="0.2">
      <c r="A317" s="2"/>
      <c r="B317" s="2"/>
      <c r="C317" s="2"/>
      <c r="D317" s="2"/>
      <c r="E317" s="2"/>
      <c r="F317" s="2"/>
      <c r="G317" s="2"/>
      <c r="H317" s="2"/>
      <c r="I317" s="2"/>
      <c r="J317" s="2"/>
      <c r="K317" s="2"/>
      <c r="L317" s="2"/>
      <c r="M317" s="2"/>
      <c r="N317" s="2"/>
      <c r="O317" s="2"/>
      <c r="P317" s="2"/>
    </row>
    <row r="318" spans="1:16" x14ac:dyDescent="0.2">
      <c r="A318" s="2"/>
      <c r="B318" s="2"/>
      <c r="C318" s="2"/>
      <c r="D318" s="2"/>
      <c r="E318" s="2"/>
      <c r="F318" s="2"/>
      <c r="G318" s="2"/>
      <c r="H318" s="2"/>
      <c r="I318" s="2"/>
      <c r="J318" s="2"/>
      <c r="K318" s="2"/>
      <c r="L318" s="2"/>
      <c r="M318" s="2"/>
      <c r="N318" s="2"/>
      <c r="O318" s="2"/>
      <c r="P318" s="2"/>
    </row>
    <row r="319" spans="1:16" x14ac:dyDescent="0.2">
      <c r="A319" s="2"/>
      <c r="B319" s="2"/>
      <c r="C319" s="2"/>
      <c r="D319" s="2"/>
      <c r="E319" s="2"/>
      <c r="F319" s="2"/>
      <c r="G319" s="2"/>
      <c r="H319" s="2"/>
      <c r="I319" s="2"/>
      <c r="J319" s="2"/>
      <c r="K319" s="2"/>
      <c r="L319" s="2"/>
      <c r="M319" s="2"/>
      <c r="N319" s="2"/>
      <c r="O319" s="2"/>
      <c r="P319" s="2"/>
    </row>
    <row r="320" spans="1:16" x14ac:dyDescent="0.2">
      <c r="A320" s="2"/>
      <c r="B320" s="2"/>
      <c r="C320" s="2"/>
      <c r="D320" s="2"/>
      <c r="E320" s="2"/>
      <c r="F320" s="2"/>
      <c r="G320" s="2"/>
      <c r="H320" s="2"/>
      <c r="I320" s="2"/>
      <c r="J320" s="2"/>
      <c r="K320" s="2"/>
      <c r="L320" s="2"/>
      <c r="M320" s="2"/>
      <c r="N320" s="2"/>
      <c r="O320" s="2"/>
      <c r="P320" s="2"/>
    </row>
    <row r="321" spans="1:16" x14ac:dyDescent="0.2">
      <c r="A321" s="2"/>
      <c r="B321" s="2"/>
      <c r="C321" s="2"/>
      <c r="D321" s="2"/>
      <c r="E321" s="2"/>
      <c r="F321" s="2"/>
      <c r="G321" s="2"/>
      <c r="H321" s="2"/>
      <c r="I321" s="2"/>
      <c r="J321" s="2"/>
      <c r="K321" s="2"/>
      <c r="L321" s="2"/>
      <c r="M321" s="2"/>
      <c r="N321" s="2"/>
      <c r="O321" s="2"/>
      <c r="P321" s="2"/>
    </row>
    <row r="322" spans="1:16" x14ac:dyDescent="0.2">
      <c r="A322" s="2"/>
      <c r="B322" s="2"/>
      <c r="C322" s="2"/>
      <c r="D322" s="2"/>
      <c r="E322" s="2"/>
      <c r="F322" s="2"/>
      <c r="G322" s="2"/>
      <c r="H322" s="2"/>
      <c r="I322" s="2"/>
      <c r="J322" s="2"/>
      <c r="K322" s="2"/>
      <c r="L322" s="2"/>
      <c r="M322" s="2"/>
      <c r="N322" s="2"/>
      <c r="O322" s="2"/>
      <c r="P322" s="2"/>
    </row>
    <row r="323" spans="1:16" x14ac:dyDescent="0.2">
      <c r="A323" s="2"/>
      <c r="B323" s="2"/>
      <c r="C323" s="2"/>
      <c r="D323" s="2"/>
      <c r="E323" s="2"/>
      <c r="F323" s="2"/>
      <c r="G323" s="2"/>
      <c r="H323" s="2"/>
      <c r="I323" s="2"/>
      <c r="J323" s="2"/>
      <c r="K323" s="2"/>
      <c r="L323" s="2"/>
      <c r="M323" s="2"/>
      <c r="N323" s="2"/>
      <c r="O323" s="2"/>
      <c r="P323" s="2"/>
    </row>
    <row r="324" spans="1:16" x14ac:dyDescent="0.2">
      <c r="A324" s="2"/>
      <c r="B324" s="2"/>
      <c r="C324" s="2"/>
      <c r="D324" s="2"/>
      <c r="E324" s="2"/>
      <c r="F324" s="2"/>
      <c r="G324" s="2"/>
      <c r="H324" s="2"/>
      <c r="I324" s="2"/>
      <c r="J324" s="2"/>
      <c r="K324" s="2"/>
      <c r="L324" s="2"/>
      <c r="M324" s="2"/>
      <c r="N324" s="2"/>
      <c r="O324" s="2"/>
      <c r="P324" s="2"/>
    </row>
    <row r="325" spans="1:16" x14ac:dyDescent="0.2">
      <c r="A325" s="2"/>
      <c r="B325" s="2"/>
      <c r="C325" s="2"/>
      <c r="D325" s="2"/>
      <c r="E325" s="2"/>
      <c r="F325" s="2"/>
      <c r="G325" s="2"/>
      <c r="H325" s="2"/>
      <c r="I325" s="2"/>
      <c r="J325" s="2"/>
      <c r="K325" s="2"/>
      <c r="L325" s="2"/>
      <c r="M325" s="2"/>
      <c r="N325" s="2"/>
      <c r="O325" s="2"/>
      <c r="P325" s="2"/>
    </row>
    <row r="326" spans="1:16" x14ac:dyDescent="0.2">
      <c r="A326" s="2"/>
      <c r="B326" s="2"/>
      <c r="C326" s="2"/>
      <c r="D326" s="2"/>
      <c r="E326" s="2"/>
      <c r="F326" s="2"/>
      <c r="G326" s="2"/>
      <c r="H326" s="2"/>
      <c r="I326" s="2"/>
      <c r="J326" s="2"/>
      <c r="K326" s="2"/>
      <c r="L326" s="2"/>
      <c r="M326" s="2"/>
      <c r="N326" s="2"/>
      <c r="O326" s="2"/>
      <c r="P326" s="2"/>
    </row>
    <row r="327" spans="1:16" x14ac:dyDescent="0.2">
      <c r="A327" s="2"/>
      <c r="B327" s="2"/>
      <c r="C327" s="2"/>
      <c r="D327" s="2"/>
      <c r="E327" s="2"/>
      <c r="F327" s="2"/>
      <c r="G327" s="2"/>
      <c r="H327" s="2"/>
      <c r="I327" s="2"/>
      <c r="J327" s="2"/>
      <c r="K327" s="2"/>
      <c r="L327" s="2"/>
      <c r="M327" s="2"/>
      <c r="N327" s="2"/>
      <c r="O327" s="2"/>
      <c r="P327" s="2"/>
    </row>
    <row r="328" spans="1:16" x14ac:dyDescent="0.2">
      <c r="A328" s="2"/>
      <c r="B328" s="2"/>
      <c r="C328" s="2"/>
      <c r="D328" s="2"/>
      <c r="E328" s="2"/>
      <c r="F328" s="2"/>
      <c r="G328" s="2"/>
      <c r="H328" s="2"/>
      <c r="I328" s="2"/>
      <c r="J328" s="2"/>
      <c r="K328" s="2"/>
      <c r="L328" s="2"/>
      <c r="M328" s="2"/>
      <c r="N328" s="2"/>
      <c r="O328" s="2"/>
      <c r="P328" s="2"/>
    </row>
    <row r="329" spans="1:16" x14ac:dyDescent="0.2">
      <c r="A329" s="2"/>
      <c r="B329" s="2"/>
      <c r="C329" s="2"/>
      <c r="D329" s="2"/>
      <c r="E329" s="2"/>
      <c r="F329" s="2"/>
      <c r="G329" s="2"/>
      <c r="H329" s="2"/>
      <c r="I329" s="2"/>
      <c r="J329" s="2"/>
      <c r="K329" s="2"/>
      <c r="L329" s="2"/>
      <c r="M329" s="2"/>
      <c r="N329" s="2"/>
      <c r="O329" s="2"/>
      <c r="P329" s="2"/>
    </row>
    <row r="330" spans="1:16" x14ac:dyDescent="0.2">
      <c r="A330" s="2"/>
      <c r="B330" s="2"/>
      <c r="C330" s="2"/>
      <c r="D330" s="2"/>
      <c r="E330" s="2"/>
      <c r="F330" s="2"/>
      <c r="G330" s="2"/>
      <c r="H330" s="2"/>
      <c r="I330" s="2"/>
      <c r="J330" s="2"/>
      <c r="K330" s="2"/>
      <c r="L330" s="2"/>
      <c r="M330" s="2"/>
      <c r="N330" s="2"/>
      <c r="O330" s="2"/>
      <c r="P330" s="2"/>
    </row>
    <row r="331" spans="1:16" x14ac:dyDescent="0.2">
      <c r="A331" s="2"/>
      <c r="B331" s="2"/>
      <c r="C331" s="2"/>
      <c r="D331" s="2"/>
      <c r="E331" s="2"/>
      <c r="F331" s="2"/>
      <c r="G331" s="2"/>
      <c r="H331" s="2"/>
      <c r="I331" s="2"/>
      <c r="J331" s="2"/>
      <c r="K331" s="2"/>
      <c r="L331" s="2"/>
      <c r="M331" s="2"/>
      <c r="N331" s="2"/>
      <c r="O331" s="2"/>
      <c r="P331" s="2"/>
    </row>
    <row r="332" spans="1:16" x14ac:dyDescent="0.2">
      <c r="A332" s="2"/>
      <c r="B332" s="2"/>
      <c r="C332" s="2"/>
      <c r="D332" s="2"/>
      <c r="E332" s="2"/>
      <c r="F332" s="2"/>
      <c r="G332" s="2"/>
      <c r="H332" s="2"/>
      <c r="I332" s="2"/>
      <c r="J332" s="2"/>
      <c r="K332" s="2"/>
      <c r="L332" s="2"/>
      <c r="M332" s="2"/>
      <c r="N332" s="2"/>
      <c r="O332" s="2"/>
      <c r="P332" s="2"/>
    </row>
    <row r="333" spans="1:16" x14ac:dyDescent="0.2">
      <c r="A333" s="2"/>
      <c r="B333" s="2"/>
      <c r="C333" s="2"/>
      <c r="D333" s="2"/>
      <c r="E333" s="2"/>
      <c r="F333" s="2"/>
      <c r="G333" s="2"/>
      <c r="H333" s="2"/>
      <c r="I333" s="2"/>
      <c r="J333" s="2"/>
      <c r="K333" s="2"/>
      <c r="L333" s="2"/>
      <c r="M333" s="2"/>
      <c r="N333" s="2"/>
      <c r="O333" s="2"/>
      <c r="P333" s="2"/>
    </row>
    <row r="334" spans="1:16" x14ac:dyDescent="0.2">
      <c r="A334" s="2"/>
      <c r="B334" s="2"/>
      <c r="C334" s="2"/>
      <c r="D334" s="2"/>
      <c r="E334" s="2"/>
      <c r="F334" s="2"/>
      <c r="G334" s="2"/>
      <c r="H334" s="2"/>
      <c r="I334" s="2"/>
      <c r="J334" s="2"/>
      <c r="K334" s="2"/>
      <c r="L334" s="2"/>
      <c r="M334" s="2"/>
      <c r="N334" s="2"/>
      <c r="O334" s="2"/>
      <c r="P334" s="2"/>
    </row>
    <row r="335" spans="1:16" x14ac:dyDescent="0.2">
      <c r="A335" s="2"/>
      <c r="B335" s="2"/>
      <c r="C335" s="2"/>
      <c r="D335" s="2"/>
      <c r="E335" s="2"/>
      <c r="F335" s="2"/>
      <c r="G335" s="2"/>
      <c r="H335" s="2"/>
      <c r="I335" s="2"/>
      <c r="J335" s="2"/>
      <c r="K335" s="2"/>
      <c r="L335" s="2"/>
      <c r="M335" s="2"/>
      <c r="N335" s="2"/>
      <c r="O335" s="2"/>
      <c r="P335" s="2"/>
    </row>
    <row r="336" spans="1:16" x14ac:dyDescent="0.2">
      <c r="A336" s="2"/>
      <c r="B336" s="2"/>
      <c r="C336" s="2"/>
      <c r="D336" s="2"/>
      <c r="E336" s="2"/>
      <c r="F336" s="2"/>
      <c r="G336" s="2"/>
      <c r="H336" s="2"/>
      <c r="I336" s="2"/>
      <c r="J336" s="2"/>
      <c r="K336" s="2"/>
      <c r="L336" s="2"/>
      <c r="M336" s="2"/>
      <c r="N336" s="2"/>
      <c r="O336" s="2"/>
      <c r="P336" s="2"/>
    </row>
    <row r="337" spans="1:16" x14ac:dyDescent="0.2">
      <c r="A337" s="2"/>
      <c r="B337" s="2"/>
      <c r="C337" s="2"/>
      <c r="D337" s="2"/>
      <c r="E337" s="2"/>
      <c r="F337" s="2"/>
      <c r="G337" s="2"/>
      <c r="H337" s="2"/>
      <c r="I337" s="2"/>
      <c r="J337" s="2"/>
      <c r="K337" s="2"/>
      <c r="L337" s="2"/>
      <c r="M337" s="2"/>
      <c r="N337" s="2"/>
      <c r="O337" s="2"/>
      <c r="P337" s="2"/>
    </row>
    <row r="338" spans="1:16" x14ac:dyDescent="0.2">
      <c r="A338" s="2"/>
      <c r="B338" s="2"/>
      <c r="C338" s="2"/>
      <c r="D338" s="2"/>
      <c r="E338" s="2"/>
      <c r="F338" s="2"/>
      <c r="G338" s="2"/>
      <c r="H338" s="2"/>
      <c r="I338" s="2"/>
      <c r="J338" s="2"/>
      <c r="K338" s="2"/>
      <c r="L338" s="2"/>
      <c r="M338" s="2"/>
      <c r="N338" s="2"/>
      <c r="O338" s="2"/>
      <c r="P338" s="2"/>
    </row>
    <row r="339" spans="1:16" x14ac:dyDescent="0.2">
      <c r="A339" s="2"/>
      <c r="B339" s="2"/>
      <c r="C339" s="2"/>
      <c r="D339" s="2"/>
      <c r="E339" s="2"/>
      <c r="F339" s="2"/>
      <c r="G339" s="2"/>
      <c r="H339" s="2"/>
      <c r="I339" s="2"/>
      <c r="J339" s="2"/>
      <c r="K339" s="2"/>
      <c r="L339" s="2"/>
      <c r="M339" s="2"/>
      <c r="N339" s="2"/>
      <c r="O339" s="2"/>
      <c r="P339" s="2"/>
    </row>
    <row r="340" spans="1:16" x14ac:dyDescent="0.2">
      <c r="A340" s="2"/>
      <c r="B340" s="2"/>
      <c r="C340" s="2"/>
      <c r="D340" s="2"/>
      <c r="E340" s="2"/>
      <c r="F340" s="2"/>
      <c r="G340" s="2"/>
      <c r="H340" s="2"/>
      <c r="I340" s="2"/>
      <c r="J340" s="2"/>
      <c r="K340" s="2"/>
      <c r="L340" s="2"/>
      <c r="M340" s="2"/>
      <c r="N340" s="2"/>
      <c r="O340" s="2"/>
      <c r="P340" s="2"/>
    </row>
    <row r="341" spans="1:16" x14ac:dyDescent="0.2">
      <c r="A341" s="2"/>
      <c r="B341" s="2"/>
      <c r="C341" s="2"/>
      <c r="D341" s="2"/>
      <c r="E341" s="2"/>
      <c r="F341" s="2"/>
      <c r="G341" s="2"/>
      <c r="H341" s="2"/>
      <c r="I341" s="2"/>
      <c r="J341" s="2"/>
      <c r="K341" s="2"/>
      <c r="L341" s="2"/>
      <c r="M341" s="2"/>
      <c r="N341" s="2"/>
      <c r="O341" s="2"/>
      <c r="P341" s="2"/>
    </row>
    <row r="342" spans="1:16" x14ac:dyDescent="0.2">
      <c r="A342" s="2"/>
      <c r="B342" s="2"/>
      <c r="C342" s="2"/>
      <c r="D342" s="2"/>
      <c r="E342" s="2"/>
      <c r="F342" s="2"/>
      <c r="G342" s="2"/>
      <c r="H342" s="2"/>
      <c r="I342" s="2"/>
      <c r="J342" s="2"/>
      <c r="K342" s="2"/>
      <c r="L342" s="2"/>
      <c r="M342" s="2"/>
      <c r="N342" s="2"/>
      <c r="O342" s="2"/>
      <c r="P342" s="2"/>
    </row>
    <row r="343" spans="1:16" x14ac:dyDescent="0.2">
      <c r="A343" s="2"/>
      <c r="B343" s="2"/>
      <c r="C343" s="2"/>
      <c r="D343" s="2"/>
      <c r="E343" s="2"/>
      <c r="F343" s="2"/>
      <c r="G343" s="2"/>
      <c r="H343" s="2"/>
      <c r="I343" s="2"/>
      <c r="J343" s="2"/>
      <c r="K343" s="2"/>
      <c r="L343" s="2"/>
      <c r="M343" s="2"/>
      <c r="N343" s="2"/>
      <c r="O343" s="2"/>
      <c r="P343" s="2"/>
    </row>
    <row r="344" spans="1:16" x14ac:dyDescent="0.2">
      <c r="A344" s="2"/>
      <c r="B344" s="2"/>
      <c r="C344" s="2"/>
      <c r="D344" s="2"/>
      <c r="E344" s="2"/>
      <c r="F344" s="2"/>
      <c r="G344" s="2"/>
      <c r="H344" s="2"/>
      <c r="I344" s="2"/>
      <c r="J344" s="2"/>
      <c r="K344" s="2"/>
      <c r="L344" s="2"/>
      <c r="M344" s="2"/>
      <c r="N344" s="2"/>
      <c r="O344" s="2"/>
      <c r="P344" s="2"/>
    </row>
    <row r="345" spans="1:16" x14ac:dyDescent="0.2">
      <c r="A345" s="2"/>
      <c r="B345" s="2"/>
      <c r="C345" s="2"/>
      <c r="D345" s="2"/>
      <c r="E345" s="2"/>
      <c r="F345" s="2"/>
      <c r="G345" s="2"/>
      <c r="H345" s="2"/>
      <c r="I345" s="2"/>
      <c r="J345" s="2"/>
      <c r="K345" s="2"/>
      <c r="L345" s="2"/>
      <c r="M345" s="2"/>
      <c r="N345" s="2"/>
      <c r="O345" s="2"/>
      <c r="P345" s="2"/>
    </row>
    <row r="346" spans="1:16" x14ac:dyDescent="0.2">
      <c r="A346" s="2"/>
      <c r="B346" s="2"/>
      <c r="C346" s="2"/>
      <c r="D346" s="2"/>
      <c r="E346" s="2"/>
      <c r="F346" s="2"/>
      <c r="G346" s="2"/>
      <c r="H346" s="2"/>
      <c r="I346" s="2"/>
      <c r="J346" s="2"/>
      <c r="K346" s="2"/>
      <c r="L346" s="2"/>
      <c r="M346" s="2"/>
      <c r="N346" s="2"/>
      <c r="O346" s="2"/>
      <c r="P346" s="2"/>
    </row>
    <row r="347" spans="1:16" x14ac:dyDescent="0.2">
      <c r="A347" s="2"/>
      <c r="B347" s="2"/>
      <c r="C347" s="2"/>
      <c r="D347" s="2"/>
      <c r="E347" s="2"/>
      <c r="F347" s="2"/>
      <c r="G347" s="2"/>
      <c r="H347" s="2"/>
      <c r="I347" s="2"/>
      <c r="J347" s="2"/>
      <c r="K347" s="2"/>
      <c r="L347" s="2"/>
      <c r="M347" s="2"/>
      <c r="N347" s="2"/>
      <c r="O347" s="2"/>
      <c r="P347" s="2"/>
    </row>
    <row r="348" spans="1:16" x14ac:dyDescent="0.2">
      <c r="A348" s="2"/>
      <c r="B348" s="2"/>
      <c r="C348" s="2"/>
      <c r="D348" s="2"/>
      <c r="E348" s="2"/>
      <c r="F348" s="2"/>
      <c r="G348" s="2"/>
      <c r="H348" s="2"/>
      <c r="I348" s="2"/>
      <c r="J348" s="2"/>
      <c r="K348" s="2"/>
      <c r="L348" s="2"/>
      <c r="M348" s="2"/>
      <c r="N348" s="2"/>
      <c r="O348" s="2"/>
      <c r="P348" s="2"/>
    </row>
    <row r="349" spans="1:16" x14ac:dyDescent="0.2">
      <c r="A349" s="2"/>
      <c r="B349" s="2"/>
      <c r="C349" s="2"/>
      <c r="D349" s="2"/>
      <c r="E349" s="2"/>
      <c r="F349" s="2"/>
      <c r="G349" s="2"/>
      <c r="H349" s="2"/>
      <c r="I349" s="2"/>
      <c r="J349" s="2"/>
      <c r="K349" s="2"/>
      <c r="L349" s="2"/>
      <c r="M349" s="2"/>
      <c r="N349" s="2"/>
      <c r="O349" s="2"/>
      <c r="P349" s="2"/>
    </row>
    <row r="350" spans="1:16" x14ac:dyDescent="0.2">
      <c r="A350" s="2"/>
      <c r="B350" s="2"/>
      <c r="C350" s="2"/>
      <c r="D350" s="2"/>
      <c r="E350" s="2"/>
      <c r="F350" s="2"/>
      <c r="G350" s="2"/>
      <c r="H350" s="2"/>
      <c r="I350" s="2"/>
      <c r="J350" s="2"/>
      <c r="K350" s="2"/>
      <c r="L350" s="2"/>
      <c r="M350" s="2"/>
      <c r="N350" s="2"/>
      <c r="O350" s="2"/>
      <c r="P350" s="2"/>
    </row>
    <row r="351" spans="1:16" x14ac:dyDescent="0.2">
      <c r="A351" s="2"/>
      <c r="B351" s="2"/>
      <c r="C351" s="2"/>
      <c r="D351" s="2"/>
      <c r="E351" s="2"/>
      <c r="F351" s="2"/>
      <c r="G351" s="2"/>
      <c r="H351" s="2"/>
      <c r="I351" s="2"/>
      <c r="J351" s="2"/>
      <c r="K351" s="2"/>
      <c r="L351" s="2"/>
      <c r="M351" s="2"/>
      <c r="N351" s="2"/>
      <c r="O351" s="2"/>
      <c r="P351" s="2"/>
    </row>
    <row r="352" spans="1:16" x14ac:dyDescent="0.2">
      <c r="A352" s="2"/>
      <c r="B352" s="2"/>
      <c r="C352" s="2"/>
      <c r="D352" s="2"/>
      <c r="E352" s="2"/>
      <c r="F352" s="2"/>
      <c r="G352" s="2"/>
      <c r="H352" s="2"/>
      <c r="I352" s="2"/>
      <c r="J352" s="2"/>
      <c r="K352" s="2"/>
      <c r="L352" s="2"/>
      <c r="M352" s="2"/>
      <c r="N352" s="2"/>
      <c r="O352" s="2"/>
      <c r="P352" s="2"/>
    </row>
    <row r="353" spans="1:16" x14ac:dyDescent="0.2">
      <c r="A353" s="2"/>
      <c r="B353" s="2"/>
      <c r="C353" s="2"/>
      <c r="D353" s="2"/>
      <c r="E353" s="2"/>
      <c r="F353" s="2"/>
      <c r="G353" s="2"/>
      <c r="H353" s="2"/>
      <c r="I353" s="2"/>
      <c r="J353" s="2"/>
      <c r="K353" s="2"/>
      <c r="L353" s="2"/>
      <c r="M353" s="2"/>
      <c r="N353" s="2"/>
      <c r="O353" s="2"/>
      <c r="P353" s="2"/>
    </row>
    <row r="354" spans="1:16" x14ac:dyDescent="0.2">
      <c r="A354" s="2"/>
      <c r="B354" s="2"/>
      <c r="C354" s="2"/>
      <c r="D354" s="2"/>
      <c r="E354" s="2"/>
      <c r="F354" s="2"/>
      <c r="G354" s="2"/>
      <c r="H354" s="2"/>
      <c r="I354" s="2"/>
      <c r="J354" s="2"/>
      <c r="K354" s="2"/>
      <c r="L354" s="2"/>
      <c r="M354" s="2"/>
      <c r="N354" s="2"/>
      <c r="O354" s="2"/>
      <c r="P354" s="2"/>
    </row>
    <row r="355" spans="1:16" x14ac:dyDescent="0.2">
      <c r="A355" s="2"/>
      <c r="B355" s="2"/>
      <c r="C355" s="2"/>
      <c r="D355" s="2"/>
      <c r="E355" s="2"/>
      <c r="F355" s="2"/>
      <c r="G355" s="2"/>
      <c r="H355" s="2"/>
      <c r="I355" s="2"/>
      <c r="J355" s="2"/>
      <c r="K355" s="2"/>
      <c r="L355" s="2"/>
      <c r="M355" s="2"/>
      <c r="N355" s="2"/>
      <c r="O355" s="2"/>
      <c r="P355" s="2"/>
    </row>
    <row r="356" spans="1:16" x14ac:dyDescent="0.2">
      <c r="A356" s="2"/>
      <c r="B356" s="2"/>
      <c r="C356" s="2"/>
      <c r="D356" s="2"/>
      <c r="E356" s="2"/>
      <c r="F356" s="2"/>
      <c r="G356" s="2"/>
      <c r="H356" s="2"/>
      <c r="I356" s="2"/>
      <c r="J356" s="2"/>
      <c r="K356" s="2"/>
      <c r="L356" s="2"/>
      <c r="M356" s="2"/>
      <c r="N356" s="2"/>
      <c r="O356" s="2"/>
      <c r="P356" s="2"/>
    </row>
    <row r="357" spans="1:16" x14ac:dyDescent="0.2">
      <c r="A357" s="2"/>
      <c r="B357" s="2"/>
      <c r="C357" s="2"/>
      <c r="D357" s="2"/>
      <c r="E357" s="2"/>
      <c r="F357" s="2"/>
      <c r="G357" s="2"/>
      <c r="H357" s="2"/>
      <c r="I357" s="2"/>
      <c r="J357" s="2"/>
      <c r="K357" s="2"/>
      <c r="L357" s="2"/>
      <c r="M357" s="2"/>
      <c r="N357" s="2"/>
      <c r="O357" s="2"/>
      <c r="P357" s="2"/>
    </row>
    <row r="358" spans="1:16" x14ac:dyDescent="0.2">
      <c r="A358" s="2"/>
      <c r="B358" s="2"/>
      <c r="C358" s="2"/>
      <c r="D358" s="2"/>
      <c r="E358" s="2"/>
      <c r="F358" s="2"/>
      <c r="G358" s="2"/>
      <c r="H358" s="2"/>
      <c r="I358" s="2"/>
      <c r="J358" s="2"/>
      <c r="K358" s="2"/>
      <c r="L358" s="2"/>
      <c r="M358" s="2"/>
      <c r="N358" s="2"/>
      <c r="O358" s="2"/>
      <c r="P358" s="2"/>
    </row>
    <row r="359" spans="1:16" x14ac:dyDescent="0.2">
      <c r="A359" s="2"/>
      <c r="B359" s="2"/>
      <c r="C359" s="2"/>
      <c r="D359" s="2"/>
      <c r="E359" s="2"/>
      <c r="F359" s="2"/>
      <c r="G359" s="2"/>
      <c r="H359" s="2"/>
      <c r="I359" s="2"/>
      <c r="J359" s="2"/>
      <c r="K359" s="2"/>
      <c r="L359" s="2"/>
      <c r="M359" s="2"/>
      <c r="N359" s="2"/>
      <c r="O359" s="2"/>
      <c r="P359" s="2"/>
    </row>
    <row r="360" spans="1:16" x14ac:dyDescent="0.2">
      <c r="A360" s="2"/>
      <c r="B360" s="2"/>
      <c r="C360" s="2"/>
      <c r="D360" s="2"/>
      <c r="E360" s="2"/>
      <c r="F360" s="2"/>
      <c r="G360" s="2"/>
      <c r="H360" s="2"/>
      <c r="I360" s="2"/>
      <c r="J360" s="2"/>
      <c r="K360" s="2"/>
      <c r="L360" s="2"/>
      <c r="M360" s="2"/>
      <c r="N360" s="2"/>
      <c r="O360" s="2"/>
      <c r="P360" s="2"/>
    </row>
    <row r="361" spans="1:16" x14ac:dyDescent="0.2">
      <c r="A361" s="2"/>
      <c r="B361" s="2"/>
      <c r="C361" s="2"/>
      <c r="D361" s="2"/>
      <c r="E361" s="2"/>
      <c r="F361" s="2"/>
      <c r="G361" s="2"/>
      <c r="H361" s="2"/>
      <c r="I361" s="2"/>
      <c r="J361" s="2"/>
      <c r="K361" s="2"/>
      <c r="L361" s="2"/>
      <c r="M361" s="2"/>
      <c r="N361" s="2"/>
      <c r="O361" s="2"/>
      <c r="P361" s="2"/>
    </row>
    <row r="362" spans="1:16" x14ac:dyDescent="0.2">
      <c r="A362" s="2"/>
      <c r="B362" s="2"/>
      <c r="C362" s="2"/>
      <c r="D362" s="2"/>
      <c r="E362" s="2"/>
      <c r="F362" s="2"/>
      <c r="G362" s="2"/>
      <c r="H362" s="2"/>
      <c r="I362" s="2"/>
      <c r="J362" s="2"/>
      <c r="K362" s="2"/>
      <c r="L362" s="2"/>
      <c r="M362" s="2"/>
      <c r="N362" s="2"/>
      <c r="O362" s="2"/>
      <c r="P362" s="2"/>
    </row>
    <row r="363" spans="1:16" x14ac:dyDescent="0.2">
      <c r="A363" s="2"/>
      <c r="B363" s="2"/>
      <c r="C363" s="2"/>
      <c r="D363" s="2"/>
      <c r="E363" s="2"/>
      <c r="F363" s="2"/>
      <c r="G363" s="2"/>
      <c r="H363" s="2"/>
      <c r="I363" s="2"/>
      <c r="J363" s="2"/>
      <c r="K363" s="2"/>
      <c r="L363" s="2"/>
      <c r="M363" s="2"/>
      <c r="N363" s="2"/>
      <c r="O363" s="2"/>
      <c r="P363" s="2"/>
    </row>
    <row r="364" spans="1:16" x14ac:dyDescent="0.2">
      <c r="A364" s="2"/>
      <c r="B364" s="2"/>
      <c r="C364" s="2"/>
      <c r="D364" s="2"/>
      <c r="E364" s="2"/>
      <c r="F364" s="2"/>
      <c r="G364" s="2"/>
      <c r="H364" s="2"/>
      <c r="I364" s="2"/>
      <c r="J364" s="2"/>
      <c r="K364" s="2"/>
      <c r="L364" s="2"/>
      <c r="M364" s="2"/>
      <c r="N364" s="2"/>
      <c r="O364" s="2"/>
      <c r="P364" s="2"/>
    </row>
    <row r="365" spans="1:16" x14ac:dyDescent="0.2">
      <c r="A365" s="2"/>
      <c r="B365" s="2"/>
      <c r="C365" s="2"/>
      <c r="D365" s="2"/>
      <c r="E365" s="2"/>
      <c r="F365" s="2"/>
      <c r="G365" s="2"/>
      <c r="H365" s="2"/>
      <c r="I365" s="2"/>
      <c r="J365" s="2"/>
      <c r="K365" s="2"/>
      <c r="L365" s="2"/>
      <c r="M365" s="2"/>
      <c r="N365" s="2"/>
      <c r="O365" s="2"/>
      <c r="P365" s="2"/>
    </row>
    <row r="366" spans="1:16" x14ac:dyDescent="0.2">
      <c r="A366" s="2"/>
      <c r="B366" s="2"/>
      <c r="C366" s="2"/>
      <c r="D366" s="2"/>
      <c r="E366" s="2"/>
      <c r="F366" s="2"/>
      <c r="G366" s="2"/>
      <c r="H366" s="2"/>
      <c r="I366" s="2"/>
      <c r="J366" s="2"/>
      <c r="K366" s="2"/>
      <c r="L366" s="2"/>
      <c r="M366" s="2"/>
      <c r="N366" s="2"/>
      <c r="O366" s="2"/>
      <c r="P366" s="2"/>
    </row>
    <row r="367" spans="1:16" x14ac:dyDescent="0.2">
      <c r="A367" s="2"/>
      <c r="B367" s="2"/>
      <c r="C367" s="2"/>
      <c r="D367" s="2"/>
      <c r="E367" s="2"/>
      <c r="F367" s="2"/>
      <c r="G367" s="2"/>
      <c r="H367" s="2"/>
      <c r="I367" s="2"/>
      <c r="J367" s="2"/>
      <c r="K367" s="2"/>
      <c r="L367" s="2"/>
      <c r="M367" s="2"/>
      <c r="N367" s="2"/>
      <c r="O367" s="2"/>
      <c r="P367" s="2"/>
    </row>
    <row r="368" spans="1:16" x14ac:dyDescent="0.2">
      <c r="A368" s="2"/>
      <c r="B368" s="2"/>
      <c r="C368" s="2"/>
      <c r="D368" s="2"/>
      <c r="E368" s="2"/>
      <c r="F368" s="2"/>
      <c r="G368" s="2"/>
      <c r="H368" s="2"/>
      <c r="I368" s="2"/>
      <c r="J368" s="2"/>
      <c r="K368" s="2"/>
      <c r="L368" s="2"/>
      <c r="M368" s="2"/>
      <c r="N368" s="2"/>
      <c r="O368" s="2"/>
      <c r="P368" s="2"/>
    </row>
    <row r="369" spans="1:16" x14ac:dyDescent="0.2">
      <c r="A369" s="2"/>
      <c r="B369" s="2"/>
      <c r="C369" s="2"/>
      <c r="D369" s="2"/>
      <c r="E369" s="2"/>
      <c r="F369" s="2"/>
      <c r="G369" s="2"/>
      <c r="H369" s="2"/>
      <c r="I369" s="2"/>
      <c r="J369" s="2"/>
      <c r="K369" s="2"/>
      <c r="L369" s="2"/>
      <c r="M369" s="2"/>
      <c r="N369" s="2"/>
      <c r="O369" s="2"/>
      <c r="P369" s="2"/>
    </row>
    <row r="370" spans="1:16" x14ac:dyDescent="0.2">
      <c r="A370" s="2"/>
      <c r="B370" s="2"/>
      <c r="C370" s="2"/>
      <c r="D370" s="2"/>
      <c r="E370" s="2"/>
      <c r="F370" s="2"/>
      <c r="G370" s="2"/>
      <c r="H370" s="2"/>
      <c r="I370" s="2"/>
      <c r="J370" s="2"/>
      <c r="K370" s="2"/>
      <c r="L370" s="2"/>
      <c r="M370" s="2"/>
      <c r="N370" s="2"/>
      <c r="O370" s="2"/>
      <c r="P370" s="2"/>
    </row>
    <row r="371" spans="1:16" x14ac:dyDescent="0.2">
      <c r="A371" s="2"/>
      <c r="B371" s="2"/>
      <c r="C371" s="2"/>
      <c r="D371" s="2"/>
      <c r="E371" s="2"/>
      <c r="F371" s="2"/>
      <c r="G371" s="2"/>
      <c r="H371" s="2"/>
      <c r="I371" s="2"/>
      <c r="J371" s="2"/>
      <c r="K371" s="2"/>
      <c r="L371" s="2"/>
      <c r="M371" s="2"/>
      <c r="N371" s="2"/>
      <c r="O371" s="2"/>
      <c r="P371" s="2"/>
    </row>
    <row r="372" spans="1:16" x14ac:dyDescent="0.2">
      <c r="A372" s="2"/>
      <c r="B372" s="2"/>
      <c r="C372" s="2"/>
      <c r="D372" s="2"/>
      <c r="E372" s="2"/>
      <c r="F372" s="2"/>
      <c r="G372" s="2"/>
      <c r="H372" s="2"/>
      <c r="I372" s="2"/>
      <c r="J372" s="2"/>
      <c r="K372" s="2"/>
      <c r="L372" s="2"/>
      <c r="M372" s="2"/>
      <c r="N372" s="2"/>
      <c r="O372" s="2"/>
      <c r="P372" s="2"/>
    </row>
    <row r="373" spans="1:16" x14ac:dyDescent="0.2">
      <c r="A373" s="2"/>
      <c r="B373" s="2"/>
      <c r="C373" s="2"/>
      <c r="D373" s="2"/>
      <c r="E373" s="2"/>
      <c r="F373" s="2"/>
      <c r="G373" s="2"/>
      <c r="H373" s="2"/>
      <c r="I373" s="2"/>
      <c r="J373" s="2"/>
      <c r="K373" s="2"/>
      <c r="L373" s="2"/>
      <c r="M373" s="2"/>
      <c r="N373" s="2"/>
      <c r="O373" s="2"/>
      <c r="P373" s="2"/>
    </row>
    <row r="374" spans="1:16" x14ac:dyDescent="0.2">
      <c r="A374" s="2"/>
      <c r="B374" s="2"/>
      <c r="C374" s="2"/>
      <c r="D374" s="2"/>
      <c r="E374" s="2"/>
      <c r="F374" s="2"/>
      <c r="G374" s="2"/>
      <c r="H374" s="2"/>
      <c r="I374" s="2"/>
      <c r="J374" s="2"/>
      <c r="K374" s="2"/>
      <c r="L374" s="2"/>
      <c r="M374" s="2"/>
      <c r="N374" s="2"/>
      <c r="O374" s="2"/>
      <c r="P374" s="2"/>
    </row>
    <row r="375" spans="1:16" x14ac:dyDescent="0.2">
      <c r="A375" s="2"/>
      <c r="B375" s="2"/>
      <c r="C375" s="2"/>
      <c r="D375" s="2"/>
      <c r="E375" s="2"/>
      <c r="F375" s="2"/>
      <c r="G375" s="2"/>
      <c r="H375" s="2"/>
      <c r="I375" s="2"/>
      <c r="J375" s="2"/>
      <c r="K375" s="2"/>
      <c r="L375" s="2"/>
      <c r="M375" s="2"/>
      <c r="N375" s="2"/>
      <c r="O375" s="2"/>
      <c r="P375" s="2"/>
    </row>
    <row r="376" spans="1:16" x14ac:dyDescent="0.2">
      <c r="A376" s="2"/>
      <c r="B376" s="2"/>
      <c r="C376" s="2"/>
      <c r="D376" s="2"/>
      <c r="E376" s="2"/>
      <c r="F376" s="2"/>
      <c r="G376" s="2"/>
      <c r="H376" s="2"/>
      <c r="I376" s="2"/>
      <c r="J376" s="2"/>
      <c r="K376" s="2"/>
      <c r="L376" s="2"/>
      <c r="M376" s="2"/>
      <c r="N376" s="2"/>
      <c r="O376" s="2"/>
      <c r="P376" s="2"/>
    </row>
    <row r="377" spans="1:16" x14ac:dyDescent="0.2">
      <c r="A377" s="2"/>
      <c r="B377" s="2"/>
      <c r="C377" s="2"/>
      <c r="D377" s="2"/>
      <c r="E377" s="2"/>
      <c r="F377" s="2"/>
      <c r="G377" s="2"/>
      <c r="H377" s="2"/>
      <c r="I377" s="2"/>
      <c r="J377" s="2"/>
      <c r="K377" s="2"/>
      <c r="L377" s="2"/>
      <c r="M377" s="2"/>
      <c r="N377" s="2"/>
      <c r="O377" s="2"/>
      <c r="P377" s="2"/>
    </row>
    <row r="378" spans="1:16" x14ac:dyDescent="0.2">
      <c r="A378" s="2"/>
      <c r="B378" s="2"/>
      <c r="C378" s="2"/>
      <c r="D378" s="2"/>
      <c r="E378" s="2"/>
      <c r="F378" s="2"/>
      <c r="G378" s="2"/>
      <c r="H378" s="2"/>
      <c r="I378" s="2"/>
      <c r="J378" s="2"/>
      <c r="K378" s="2"/>
      <c r="L378" s="2"/>
      <c r="M378" s="2"/>
      <c r="N378" s="2"/>
      <c r="O378" s="2"/>
      <c r="P378" s="2"/>
    </row>
    <row r="379" spans="1:16" x14ac:dyDescent="0.2">
      <c r="A379" s="2"/>
      <c r="B379" s="2"/>
      <c r="C379" s="2"/>
      <c r="D379" s="2"/>
      <c r="E379" s="2"/>
      <c r="F379" s="2"/>
      <c r="G379" s="2"/>
      <c r="H379" s="2"/>
      <c r="I379" s="2"/>
      <c r="J379" s="2"/>
      <c r="K379" s="2"/>
      <c r="L379" s="2"/>
      <c r="M379" s="2"/>
      <c r="N379" s="2"/>
      <c r="O379" s="2"/>
      <c r="P379" s="2"/>
    </row>
    <row r="380" spans="1:16" x14ac:dyDescent="0.2">
      <c r="A380" s="2"/>
      <c r="B380" s="2"/>
      <c r="C380" s="2"/>
      <c r="D380" s="2"/>
      <c r="E380" s="2"/>
      <c r="F380" s="2"/>
      <c r="G380" s="2"/>
      <c r="H380" s="2"/>
      <c r="I380" s="2"/>
      <c r="J380" s="2"/>
      <c r="K380" s="2"/>
      <c r="L380" s="2"/>
      <c r="M380" s="2"/>
      <c r="N380" s="2"/>
      <c r="O380" s="2"/>
      <c r="P380" s="2"/>
    </row>
    <row r="381" spans="1:16" x14ac:dyDescent="0.2">
      <c r="A381" s="2"/>
      <c r="B381" s="2"/>
      <c r="C381" s="2"/>
      <c r="D381" s="2"/>
      <c r="E381" s="2"/>
      <c r="F381" s="2"/>
      <c r="G381" s="2"/>
      <c r="H381" s="2"/>
      <c r="I381" s="2"/>
      <c r="J381" s="2"/>
      <c r="K381" s="2"/>
      <c r="L381" s="2"/>
      <c r="M381" s="2"/>
      <c r="N381" s="2"/>
      <c r="O381" s="2"/>
      <c r="P381" s="2"/>
    </row>
    <row r="382" spans="1:16" x14ac:dyDescent="0.2">
      <c r="A382" s="2"/>
      <c r="B382" s="2"/>
      <c r="C382" s="2"/>
      <c r="D382" s="2"/>
      <c r="E382" s="2"/>
      <c r="F382" s="2"/>
      <c r="G382" s="2"/>
      <c r="H382" s="2"/>
      <c r="I382" s="2"/>
      <c r="J382" s="2"/>
      <c r="K382" s="2"/>
      <c r="L382" s="2"/>
      <c r="M382" s="2"/>
      <c r="N382" s="2"/>
      <c r="O382" s="2"/>
      <c r="P382" s="2"/>
    </row>
    <row r="383" spans="1:16" x14ac:dyDescent="0.2">
      <c r="A383" s="2"/>
      <c r="B383" s="2"/>
      <c r="C383" s="2"/>
      <c r="D383" s="2"/>
      <c r="E383" s="2"/>
      <c r="F383" s="2"/>
      <c r="G383" s="2"/>
      <c r="H383" s="2"/>
      <c r="I383" s="2"/>
      <c r="J383" s="2"/>
      <c r="K383" s="2"/>
      <c r="L383" s="2"/>
      <c r="M383" s="2"/>
      <c r="N383" s="2"/>
      <c r="O383" s="2"/>
      <c r="P383" s="2"/>
    </row>
    <row r="384" spans="1:16" x14ac:dyDescent="0.2">
      <c r="A384" s="2"/>
      <c r="B384" s="2"/>
      <c r="C384" s="2"/>
      <c r="D384" s="2"/>
      <c r="E384" s="2"/>
      <c r="F384" s="2"/>
      <c r="G384" s="2"/>
      <c r="H384" s="2"/>
      <c r="I384" s="2"/>
      <c r="J384" s="2"/>
      <c r="K384" s="2"/>
      <c r="L384" s="2"/>
      <c r="M384" s="2"/>
      <c r="N384" s="2"/>
      <c r="O384" s="2"/>
      <c r="P384" s="2"/>
    </row>
    <row r="385" spans="1:16" x14ac:dyDescent="0.2">
      <c r="A385" s="2"/>
      <c r="B385" s="2"/>
      <c r="C385" s="2"/>
      <c r="D385" s="2"/>
      <c r="E385" s="2"/>
      <c r="F385" s="2"/>
      <c r="G385" s="2"/>
      <c r="H385" s="2"/>
      <c r="I385" s="2"/>
      <c r="J385" s="2"/>
      <c r="K385" s="2"/>
      <c r="L385" s="2"/>
      <c r="M385" s="2"/>
      <c r="N385" s="2"/>
      <c r="O385" s="2"/>
      <c r="P385" s="2"/>
    </row>
    <row r="386" spans="1:16" x14ac:dyDescent="0.2">
      <c r="A386" s="2"/>
      <c r="B386" s="2"/>
      <c r="C386" s="2"/>
      <c r="D386" s="2"/>
      <c r="E386" s="2"/>
      <c r="F386" s="2"/>
      <c r="G386" s="2"/>
      <c r="H386" s="2"/>
      <c r="I386" s="2"/>
      <c r="J386" s="2"/>
      <c r="K386" s="2"/>
      <c r="L386" s="2"/>
      <c r="M386" s="2"/>
      <c r="N386" s="2"/>
      <c r="O386" s="2"/>
      <c r="P386" s="2"/>
    </row>
    <row r="387" spans="1:16" x14ac:dyDescent="0.2">
      <c r="A387" s="2"/>
      <c r="B387" s="2"/>
      <c r="C387" s="2"/>
      <c r="D387" s="2"/>
      <c r="E387" s="2"/>
      <c r="F387" s="2"/>
      <c r="G387" s="2"/>
      <c r="H387" s="2"/>
      <c r="I387" s="2"/>
      <c r="J387" s="2"/>
      <c r="K387" s="2"/>
      <c r="L387" s="2"/>
      <c r="M387" s="2"/>
      <c r="N387" s="2"/>
      <c r="O387" s="2"/>
      <c r="P387" s="2"/>
    </row>
    <row r="388" spans="1:16" x14ac:dyDescent="0.2">
      <c r="A388" s="2"/>
      <c r="B388" s="2"/>
      <c r="C388" s="2"/>
      <c r="D388" s="2"/>
      <c r="E388" s="2"/>
      <c r="F388" s="2"/>
      <c r="G388" s="2"/>
      <c r="H388" s="2"/>
      <c r="I388" s="2"/>
      <c r="J388" s="2"/>
      <c r="K388" s="2"/>
      <c r="L388" s="2"/>
      <c r="M388" s="2"/>
      <c r="N388" s="2"/>
      <c r="O388" s="2"/>
      <c r="P388" s="2"/>
    </row>
    <row r="389" spans="1:16" x14ac:dyDescent="0.2">
      <c r="A389" s="2"/>
      <c r="B389" s="2"/>
      <c r="C389" s="2"/>
      <c r="D389" s="2"/>
      <c r="E389" s="2"/>
      <c r="F389" s="2"/>
      <c r="G389" s="2"/>
      <c r="H389" s="2"/>
      <c r="I389" s="2"/>
      <c r="J389" s="2"/>
      <c r="K389" s="2"/>
      <c r="L389" s="2"/>
      <c r="M389" s="2"/>
      <c r="N389" s="2"/>
      <c r="O389" s="2"/>
      <c r="P389" s="2"/>
    </row>
    <row r="390" spans="1:16" x14ac:dyDescent="0.2">
      <c r="A390" s="2"/>
      <c r="B390" s="2"/>
      <c r="C390" s="2"/>
      <c r="D390" s="2"/>
      <c r="E390" s="2"/>
      <c r="F390" s="2"/>
      <c r="G390" s="2"/>
      <c r="H390" s="2"/>
      <c r="I390" s="2"/>
      <c r="J390" s="2"/>
      <c r="K390" s="2"/>
      <c r="L390" s="2"/>
      <c r="M390" s="2"/>
      <c r="N390" s="2"/>
      <c r="O390" s="2"/>
      <c r="P390" s="2"/>
    </row>
    <row r="391" spans="1:16" x14ac:dyDescent="0.2">
      <c r="A391" s="2"/>
      <c r="B391" s="2"/>
      <c r="C391" s="2"/>
      <c r="D391" s="2"/>
      <c r="E391" s="2"/>
      <c r="F391" s="2"/>
      <c r="G391" s="2"/>
      <c r="H391" s="2"/>
      <c r="I391" s="2"/>
      <c r="J391" s="2"/>
      <c r="K391" s="2"/>
      <c r="L391" s="2"/>
      <c r="M391" s="2"/>
      <c r="N391" s="2"/>
      <c r="O391" s="2"/>
      <c r="P391" s="2"/>
    </row>
    <row r="392" spans="1:16" x14ac:dyDescent="0.2">
      <c r="A392" s="2"/>
      <c r="B392" s="2"/>
      <c r="C392" s="2"/>
      <c r="D392" s="2"/>
      <c r="E392" s="2"/>
      <c r="F392" s="2"/>
      <c r="G392" s="2"/>
      <c r="H392" s="2"/>
      <c r="I392" s="2"/>
      <c r="J392" s="2"/>
      <c r="K392" s="2"/>
      <c r="L392" s="2"/>
      <c r="M392" s="2"/>
      <c r="N392" s="2"/>
      <c r="O392" s="2"/>
      <c r="P392" s="2"/>
    </row>
    <row r="393" spans="1:16" x14ac:dyDescent="0.2">
      <c r="A393" s="2"/>
      <c r="B393" s="2"/>
      <c r="C393" s="2"/>
      <c r="D393" s="2"/>
      <c r="E393" s="2"/>
      <c r="F393" s="2"/>
      <c r="G393" s="2"/>
      <c r="H393" s="2"/>
      <c r="I393" s="2"/>
      <c r="J393" s="2"/>
      <c r="K393" s="2"/>
      <c r="L393" s="2"/>
      <c r="M393" s="2"/>
      <c r="N393" s="2"/>
      <c r="O393" s="2"/>
      <c r="P393" s="2"/>
    </row>
    <row r="394" spans="1:16" x14ac:dyDescent="0.2">
      <c r="A394" s="2"/>
      <c r="B394" s="2"/>
      <c r="C394" s="2"/>
      <c r="D394" s="2"/>
      <c r="E394" s="2"/>
      <c r="F394" s="2"/>
      <c r="G394" s="2"/>
      <c r="H394" s="2"/>
      <c r="I394" s="2"/>
      <c r="J394" s="2"/>
      <c r="K394" s="2"/>
      <c r="L394" s="2"/>
      <c r="M394" s="2"/>
      <c r="N394" s="2"/>
      <c r="O394" s="2"/>
      <c r="P394" s="2"/>
    </row>
    <row r="395" spans="1:16" x14ac:dyDescent="0.2">
      <c r="A395" s="2"/>
      <c r="B395" s="2"/>
      <c r="C395" s="2"/>
      <c r="D395" s="2"/>
      <c r="E395" s="2"/>
      <c r="F395" s="2"/>
      <c r="G395" s="2"/>
      <c r="H395" s="2"/>
      <c r="I395" s="2"/>
      <c r="J395" s="2"/>
      <c r="K395" s="2"/>
      <c r="L395" s="2"/>
      <c r="M395" s="2"/>
      <c r="N395" s="2"/>
      <c r="O395" s="2"/>
      <c r="P395" s="2"/>
    </row>
    <row r="396" spans="1:16" x14ac:dyDescent="0.2">
      <c r="A396" s="2"/>
      <c r="B396" s="2"/>
      <c r="C396" s="2"/>
      <c r="D396" s="2"/>
      <c r="E396" s="2"/>
      <c r="F396" s="2"/>
      <c r="G396" s="2"/>
      <c r="H396" s="2"/>
      <c r="I396" s="2"/>
      <c r="J396" s="2"/>
      <c r="K396" s="2"/>
      <c r="L396" s="2"/>
      <c r="M396" s="2"/>
      <c r="N396" s="2"/>
      <c r="O396" s="2"/>
      <c r="P396" s="2"/>
    </row>
    <row r="397" spans="1:16" x14ac:dyDescent="0.2">
      <c r="A397" s="2"/>
      <c r="B397" s="2"/>
      <c r="C397" s="2"/>
      <c r="D397" s="2"/>
      <c r="E397" s="2"/>
      <c r="F397" s="2"/>
      <c r="G397" s="2"/>
      <c r="H397" s="2"/>
      <c r="I397" s="2"/>
      <c r="J397" s="2"/>
      <c r="K397" s="2"/>
      <c r="L397" s="2"/>
      <c r="M397" s="2"/>
      <c r="N397" s="2"/>
      <c r="O397" s="2"/>
      <c r="P397" s="2"/>
    </row>
    <row r="398" spans="1:16" x14ac:dyDescent="0.2">
      <c r="A398" s="2"/>
      <c r="B398" s="2"/>
      <c r="C398" s="2"/>
      <c r="D398" s="2"/>
      <c r="E398" s="2"/>
      <c r="F398" s="2"/>
      <c r="G398" s="2"/>
      <c r="H398" s="2"/>
      <c r="I398" s="2"/>
      <c r="J398" s="2"/>
      <c r="K398" s="2"/>
      <c r="L398" s="2"/>
      <c r="M398" s="2"/>
      <c r="N398" s="2"/>
      <c r="O398" s="2"/>
      <c r="P398" s="2"/>
    </row>
    <row r="399" spans="1:16" x14ac:dyDescent="0.2">
      <c r="A399" s="2"/>
      <c r="B399" s="2"/>
      <c r="C399" s="2"/>
      <c r="D399" s="2"/>
      <c r="E399" s="2"/>
      <c r="F399" s="2"/>
      <c r="G399" s="2"/>
      <c r="H399" s="2"/>
      <c r="I399" s="2"/>
      <c r="J399" s="2"/>
      <c r="K399" s="2"/>
      <c r="L399" s="2"/>
      <c r="M399" s="2"/>
      <c r="N399" s="2"/>
      <c r="O399" s="2"/>
      <c r="P399" s="2"/>
    </row>
    <row r="400" spans="1:16" x14ac:dyDescent="0.2">
      <c r="A400" s="2"/>
      <c r="B400" s="2"/>
      <c r="C400" s="2"/>
      <c r="D400" s="2"/>
      <c r="E400" s="2"/>
      <c r="F400" s="2"/>
      <c r="G400" s="2"/>
      <c r="H400" s="2"/>
      <c r="I400" s="2"/>
      <c r="J400" s="2"/>
      <c r="K400" s="2"/>
      <c r="L400" s="2"/>
      <c r="M400" s="2"/>
      <c r="N400" s="2"/>
      <c r="O400" s="2"/>
      <c r="P400" s="2"/>
    </row>
    <row r="401" spans="1:16" x14ac:dyDescent="0.2">
      <c r="A401" s="2"/>
      <c r="B401" s="2"/>
      <c r="C401" s="2"/>
      <c r="D401" s="2"/>
      <c r="E401" s="2"/>
      <c r="F401" s="2"/>
      <c r="G401" s="2"/>
      <c r="H401" s="2"/>
      <c r="I401" s="2"/>
      <c r="J401" s="2"/>
      <c r="K401" s="2"/>
      <c r="L401" s="2"/>
      <c r="M401" s="2"/>
      <c r="N401" s="2"/>
      <c r="O401" s="2"/>
      <c r="P401" s="2"/>
    </row>
    <row r="402" spans="1:16" x14ac:dyDescent="0.2">
      <c r="A402" s="2"/>
      <c r="B402" s="2"/>
      <c r="C402" s="2"/>
      <c r="D402" s="2"/>
      <c r="E402" s="2"/>
      <c r="F402" s="2"/>
      <c r="G402" s="2"/>
      <c r="H402" s="2"/>
      <c r="I402" s="2"/>
      <c r="J402" s="2"/>
      <c r="K402" s="2"/>
      <c r="L402" s="2"/>
      <c r="M402" s="2"/>
      <c r="N402" s="2"/>
      <c r="O402" s="2"/>
      <c r="P402" s="2"/>
    </row>
    <row r="403" spans="1:16" x14ac:dyDescent="0.2">
      <c r="A403" s="2"/>
      <c r="B403" s="2"/>
      <c r="C403" s="2"/>
      <c r="D403" s="2"/>
      <c r="E403" s="2"/>
      <c r="F403" s="2"/>
      <c r="G403" s="2"/>
      <c r="H403" s="2"/>
      <c r="I403" s="2"/>
      <c r="J403" s="2"/>
      <c r="K403" s="2"/>
      <c r="L403" s="2"/>
      <c r="M403" s="2"/>
      <c r="N403" s="2"/>
      <c r="O403" s="2"/>
      <c r="P403" s="2"/>
    </row>
    <row r="404" spans="1:16" x14ac:dyDescent="0.2">
      <c r="A404" s="2"/>
      <c r="B404" s="2"/>
      <c r="C404" s="2"/>
      <c r="D404" s="2"/>
      <c r="E404" s="2"/>
      <c r="F404" s="2"/>
      <c r="G404" s="2"/>
      <c r="H404" s="2"/>
      <c r="I404" s="2"/>
      <c r="J404" s="2"/>
      <c r="K404" s="2"/>
      <c r="L404" s="2"/>
      <c r="M404" s="2"/>
      <c r="N404" s="2"/>
      <c r="O404" s="2"/>
      <c r="P404" s="2"/>
    </row>
    <row r="405" spans="1:16" x14ac:dyDescent="0.2">
      <c r="A405" s="2"/>
      <c r="B405" s="2"/>
      <c r="C405" s="2"/>
      <c r="D405" s="2"/>
      <c r="E405" s="2"/>
      <c r="F405" s="2"/>
      <c r="G405" s="2"/>
      <c r="H405" s="2"/>
      <c r="I405" s="2"/>
      <c r="J405" s="2"/>
      <c r="K405" s="2"/>
      <c r="L405" s="2"/>
      <c r="M405" s="2"/>
      <c r="N405" s="2"/>
      <c r="O405" s="2"/>
      <c r="P405" s="2"/>
    </row>
    <row r="406" spans="1:16" x14ac:dyDescent="0.2">
      <c r="A406" s="2"/>
      <c r="B406" s="2"/>
      <c r="C406" s="2"/>
      <c r="D406" s="2"/>
      <c r="E406" s="2"/>
      <c r="F406" s="2"/>
      <c r="G406" s="2"/>
      <c r="H406" s="2"/>
      <c r="I406" s="2"/>
      <c r="J406" s="2"/>
      <c r="K406" s="2"/>
      <c r="L406" s="2"/>
      <c r="M406" s="2"/>
      <c r="N406" s="2"/>
      <c r="O406" s="2"/>
      <c r="P406" s="2"/>
    </row>
    <row r="407" spans="1:16" x14ac:dyDescent="0.2">
      <c r="A407" s="2"/>
      <c r="B407" s="2"/>
      <c r="C407" s="2"/>
      <c r="D407" s="2"/>
      <c r="E407" s="2"/>
      <c r="F407" s="2"/>
      <c r="G407" s="2"/>
      <c r="H407" s="2"/>
      <c r="I407" s="2"/>
      <c r="J407" s="2"/>
      <c r="K407" s="2"/>
      <c r="L407" s="2"/>
      <c r="M407" s="2"/>
      <c r="N407" s="2"/>
      <c r="O407" s="2"/>
      <c r="P407" s="2"/>
    </row>
    <row r="408" spans="1:16" x14ac:dyDescent="0.2">
      <c r="A408" s="2"/>
      <c r="B408" s="2"/>
      <c r="C408" s="2"/>
      <c r="D408" s="2"/>
      <c r="E408" s="2"/>
      <c r="F408" s="2"/>
      <c r="G408" s="2"/>
      <c r="H408" s="2"/>
      <c r="I408" s="2"/>
      <c r="J408" s="2"/>
      <c r="K408" s="2"/>
      <c r="L408" s="2"/>
      <c r="M408" s="2"/>
      <c r="N408" s="2"/>
      <c r="O408" s="2"/>
      <c r="P408" s="2"/>
    </row>
    <row r="409" spans="1:16" x14ac:dyDescent="0.2">
      <c r="A409" s="2"/>
      <c r="B409" s="2"/>
      <c r="C409" s="2"/>
      <c r="D409" s="2"/>
      <c r="E409" s="2"/>
      <c r="F409" s="2"/>
      <c r="G409" s="2"/>
      <c r="H409" s="2"/>
      <c r="I409" s="2"/>
      <c r="J409" s="2"/>
      <c r="K409" s="2"/>
      <c r="L409" s="2"/>
      <c r="M409" s="2"/>
      <c r="N409" s="2"/>
      <c r="O409" s="2"/>
      <c r="P409" s="2"/>
    </row>
    <row r="410" spans="1:16" x14ac:dyDescent="0.2">
      <c r="A410" s="2"/>
      <c r="B410" s="2"/>
      <c r="C410" s="2"/>
      <c r="D410" s="2"/>
      <c r="E410" s="2"/>
      <c r="F410" s="2"/>
      <c r="G410" s="2"/>
      <c r="H410" s="2"/>
      <c r="I410" s="2"/>
      <c r="J410" s="2"/>
      <c r="K410" s="2"/>
      <c r="L410" s="2"/>
      <c r="M410" s="2"/>
      <c r="N410" s="2"/>
      <c r="O410" s="2"/>
      <c r="P410" s="2"/>
    </row>
    <row r="411" spans="1:16" x14ac:dyDescent="0.2">
      <c r="A411" s="2"/>
      <c r="B411" s="2"/>
      <c r="C411" s="2"/>
      <c r="D411" s="2"/>
      <c r="E411" s="2"/>
      <c r="F411" s="2"/>
      <c r="G411" s="2"/>
      <c r="H411" s="2"/>
      <c r="I411" s="2"/>
      <c r="J411" s="2"/>
      <c r="K411" s="2"/>
      <c r="L411" s="2"/>
      <c r="M411" s="2"/>
      <c r="N411" s="2"/>
      <c r="O411" s="2"/>
      <c r="P411" s="2"/>
    </row>
    <row r="412" spans="1:16" x14ac:dyDescent="0.2">
      <c r="A412" s="2"/>
      <c r="B412" s="2"/>
      <c r="C412" s="2"/>
      <c r="D412" s="2"/>
      <c r="E412" s="2"/>
      <c r="F412" s="2"/>
      <c r="G412" s="2"/>
      <c r="H412" s="2"/>
      <c r="I412" s="2"/>
      <c r="J412" s="2"/>
      <c r="K412" s="2"/>
      <c r="L412" s="2"/>
      <c r="M412" s="2"/>
      <c r="N412" s="2"/>
      <c r="O412" s="2"/>
      <c r="P412" s="2"/>
    </row>
    <row r="413" spans="1:16" x14ac:dyDescent="0.2">
      <c r="A413" s="2"/>
      <c r="B413" s="2"/>
      <c r="C413" s="2"/>
      <c r="D413" s="2"/>
      <c r="E413" s="2"/>
      <c r="F413" s="2"/>
      <c r="G413" s="2"/>
      <c r="H413" s="2"/>
      <c r="I413" s="2"/>
      <c r="J413" s="2"/>
      <c r="K413" s="2"/>
      <c r="L413" s="2"/>
      <c r="M413" s="2"/>
      <c r="N413" s="2"/>
      <c r="O413" s="2"/>
      <c r="P413" s="2"/>
    </row>
    <row r="414" spans="1:16" x14ac:dyDescent="0.2">
      <c r="A414" s="2"/>
      <c r="B414" s="2"/>
      <c r="C414" s="2"/>
      <c r="D414" s="2"/>
      <c r="E414" s="2"/>
      <c r="F414" s="2"/>
      <c r="G414" s="2"/>
      <c r="H414" s="2"/>
      <c r="I414" s="2"/>
      <c r="J414" s="2"/>
      <c r="K414" s="2"/>
      <c r="L414" s="2"/>
      <c r="M414" s="2"/>
      <c r="N414" s="2"/>
      <c r="O414" s="2"/>
      <c r="P414" s="2"/>
    </row>
    <row r="415" spans="1:16" x14ac:dyDescent="0.2">
      <c r="A415" s="2"/>
      <c r="B415" s="2"/>
      <c r="C415" s="2"/>
      <c r="D415" s="2"/>
      <c r="E415" s="2"/>
      <c r="F415" s="2"/>
      <c r="G415" s="2"/>
      <c r="H415" s="2"/>
      <c r="I415" s="2"/>
      <c r="J415" s="2"/>
      <c r="K415" s="2"/>
      <c r="L415" s="2"/>
      <c r="M415" s="2"/>
      <c r="N415" s="2"/>
      <c r="O415" s="2"/>
      <c r="P415" s="2"/>
    </row>
    <row r="416" spans="1:16" x14ac:dyDescent="0.2">
      <c r="A416" s="2"/>
      <c r="B416" s="2"/>
      <c r="C416" s="2"/>
      <c r="D416" s="2"/>
      <c r="E416" s="2"/>
      <c r="F416" s="2"/>
      <c r="G416" s="2"/>
      <c r="H416" s="2"/>
      <c r="I416" s="2"/>
      <c r="J416" s="2"/>
      <c r="K416" s="2"/>
      <c r="L416" s="2"/>
      <c r="M416" s="2"/>
      <c r="N416" s="2"/>
      <c r="O416" s="2"/>
      <c r="P416" s="2"/>
    </row>
    <row r="417" spans="1:16" x14ac:dyDescent="0.2">
      <c r="A417" s="2"/>
      <c r="B417" s="2"/>
      <c r="C417" s="2"/>
      <c r="D417" s="2"/>
      <c r="E417" s="2"/>
      <c r="F417" s="2"/>
      <c r="G417" s="2"/>
      <c r="H417" s="2"/>
      <c r="I417" s="2"/>
      <c r="J417" s="2"/>
      <c r="K417" s="2"/>
      <c r="L417" s="2"/>
      <c r="M417" s="2"/>
      <c r="N417" s="2"/>
      <c r="O417" s="2"/>
      <c r="P417" s="2"/>
    </row>
    <row r="418" spans="1:16" x14ac:dyDescent="0.2">
      <c r="A418" s="2"/>
      <c r="B418" s="2"/>
      <c r="C418" s="2"/>
      <c r="D418" s="2"/>
      <c r="E418" s="2"/>
      <c r="F418" s="2"/>
      <c r="G418" s="2"/>
      <c r="H418" s="2"/>
      <c r="I418" s="2"/>
      <c r="J418" s="2"/>
      <c r="K418" s="2"/>
      <c r="L418" s="2"/>
      <c r="M418" s="2"/>
      <c r="N418" s="2"/>
      <c r="O418" s="2"/>
      <c r="P418" s="2"/>
    </row>
    <row r="419" spans="1:16" x14ac:dyDescent="0.2">
      <c r="A419" s="2"/>
      <c r="B419" s="2"/>
      <c r="C419" s="2"/>
      <c r="D419" s="2"/>
      <c r="E419" s="2"/>
      <c r="F419" s="2"/>
      <c r="G419" s="2"/>
      <c r="H419" s="2"/>
      <c r="I419" s="2"/>
      <c r="J419" s="2"/>
      <c r="K419" s="2"/>
      <c r="L419" s="2"/>
      <c r="M419" s="2"/>
      <c r="N419" s="2"/>
      <c r="O419" s="2"/>
      <c r="P419" s="2"/>
    </row>
    <row r="420" spans="1:16" x14ac:dyDescent="0.2">
      <c r="A420" s="2"/>
      <c r="B420" s="2"/>
      <c r="C420" s="2"/>
      <c r="D420" s="2"/>
      <c r="E420" s="2"/>
      <c r="F420" s="2"/>
      <c r="G420" s="2"/>
      <c r="H420" s="2"/>
      <c r="I420" s="2"/>
      <c r="J420" s="2"/>
      <c r="K420" s="2"/>
      <c r="L420" s="2"/>
      <c r="M420" s="2"/>
      <c r="N420" s="2"/>
      <c r="O420" s="2"/>
      <c r="P420" s="2"/>
    </row>
    <row r="421" spans="1:16" x14ac:dyDescent="0.2">
      <c r="A421" s="2"/>
      <c r="B421" s="2"/>
      <c r="C421" s="2"/>
      <c r="D421" s="2"/>
      <c r="E421" s="2"/>
      <c r="F421" s="2"/>
      <c r="G421" s="2"/>
      <c r="H421" s="2"/>
      <c r="I421" s="2"/>
      <c r="J421" s="2"/>
      <c r="K421" s="2"/>
      <c r="L421" s="2"/>
      <c r="M421" s="2"/>
      <c r="N421" s="2"/>
      <c r="O421" s="2"/>
      <c r="P421" s="2"/>
    </row>
    <row r="422" spans="1:16" x14ac:dyDescent="0.2">
      <c r="A422" s="2"/>
      <c r="B422" s="2"/>
      <c r="C422" s="2"/>
      <c r="D422" s="2"/>
      <c r="E422" s="2"/>
      <c r="F422" s="2"/>
      <c r="G422" s="2"/>
      <c r="H422" s="2"/>
      <c r="I422" s="2"/>
      <c r="J422" s="2"/>
      <c r="K422" s="2"/>
      <c r="L422" s="2"/>
      <c r="M422" s="2"/>
      <c r="N422" s="2"/>
      <c r="O422" s="2"/>
      <c r="P422" s="2"/>
    </row>
    <row r="423" spans="1:16" x14ac:dyDescent="0.2">
      <c r="A423" s="2"/>
      <c r="B423" s="2"/>
      <c r="C423" s="2"/>
      <c r="D423" s="2"/>
      <c r="E423" s="2"/>
      <c r="F423" s="2"/>
      <c r="G423" s="2"/>
      <c r="H423" s="2"/>
      <c r="I423" s="2"/>
      <c r="J423" s="2"/>
      <c r="K423" s="2"/>
      <c r="L423" s="2"/>
      <c r="M423" s="2"/>
      <c r="N423" s="2"/>
      <c r="O423" s="2"/>
      <c r="P423" s="2"/>
    </row>
    <row r="424" spans="1:16" x14ac:dyDescent="0.2">
      <c r="A424" s="2"/>
      <c r="B424" s="2"/>
      <c r="C424" s="2"/>
      <c r="D424" s="2"/>
      <c r="E424" s="2"/>
      <c r="F424" s="2"/>
      <c r="G424" s="2"/>
      <c r="H424" s="2"/>
      <c r="I424" s="2"/>
      <c r="J424" s="2"/>
      <c r="K424" s="2"/>
      <c r="L424" s="2"/>
      <c r="M424" s="2"/>
      <c r="N424" s="2"/>
      <c r="O424" s="2"/>
      <c r="P424" s="2"/>
    </row>
    <row r="425" spans="1:16" x14ac:dyDescent="0.2">
      <c r="A425" s="2"/>
      <c r="B425" s="2"/>
      <c r="C425" s="2"/>
      <c r="D425" s="2"/>
      <c r="E425" s="2"/>
      <c r="F425" s="2"/>
      <c r="G425" s="2"/>
      <c r="H425" s="2"/>
      <c r="I425" s="2"/>
      <c r="J425" s="2"/>
      <c r="K425" s="2"/>
      <c r="L425" s="2"/>
      <c r="M425" s="2"/>
      <c r="N425" s="2"/>
      <c r="O425" s="2"/>
      <c r="P425" s="2"/>
    </row>
    <row r="426" spans="1:16" x14ac:dyDescent="0.2">
      <c r="A426" s="2"/>
      <c r="B426" s="2"/>
      <c r="C426" s="2"/>
      <c r="D426" s="2"/>
      <c r="E426" s="2"/>
      <c r="F426" s="2"/>
      <c r="G426" s="2"/>
      <c r="H426" s="2"/>
      <c r="I426" s="2"/>
      <c r="J426" s="2"/>
      <c r="K426" s="2"/>
      <c r="L426" s="2"/>
      <c r="M426" s="2"/>
      <c r="N426" s="2"/>
      <c r="O426" s="2"/>
      <c r="P426" s="2"/>
    </row>
    <row r="427" spans="1:16" x14ac:dyDescent="0.2">
      <c r="A427" s="2"/>
      <c r="B427" s="2"/>
      <c r="C427" s="2"/>
      <c r="D427" s="2"/>
      <c r="E427" s="2"/>
      <c r="F427" s="2"/>
      <c r="G427" s="2"/>
      <c r="H427" s="2"/>
      <c r="I427" s="2"/>
      <c r="J427" s="2"/>
      <c r="K427" s="2"/>
      <c r="L427" s="2"/>
      <c r="M427" s="2"/>
      <c r="N427" s="2"/>
      <c r="O427" s="2"/>
      <c r="P427" s="2"/>
    </row>
    <row r="428" spans="1:16" x14ac:dyDescent="0.2">
      <c r="A428" s="2"/>
      <c r="B428" s="2"/>
      <c r="C428" s="2"/>
      <c r="D428" s="2"/>
      <c r="E428" s="2"/>
      <c r="F428" s="2"/>
      <c r="G428" s="2"/>
      <c r="H428" s="2"/>
      <c r="I428" s="2"/>
      <c r="J428" s="2"/>
      <c r="K428" s="2"/>
      <c r="L428" s="2"/>
      <c r="M428" s="2"/>
      <c r="N428" s="2"/>
      <c r="O428" s="2"/>
      <c r="P428" s="2"/>
    </row>
    <row r="429" spans="1:16" x14ac:dyDescent="0.2">
      <c r="A429" s="2"/>
      <c r="B429" s="2"/>
      <c r="C429" s="2"/>
      <c r="D429" s="2"/>
      <c r="E429" s="2"/>
      <c r="F429" s="2"/>
      <c r="G429" s="2"/>
      <c r="H429" s="2"/>
      <c r="I429" s="2"/>
      <c r="J429" s="2"/>
      <c r="K429" s="2"/>
      <c r="L429" s="2"/>
      <c r="M429" s="2"/>
      <c r="N429" s="2"/>
      <c r="O429" s="2"/>
      <c r="P429" s="2"/>
    </row>
    <row r="430" spans="1:16" x14ac:dyDescent="0.2">
      <c r="A430" s="2"/>
      <c r="B430" s="2"/>
      <c r="C430" s="2"/>
      <c r="D430" s="2"/>
      <c r="E430" s="2"/>
      <c r="F430" s="2"/>
      <c r="G430" s="2"/>
      <c r="H430" s="2"/>
      <c r="I430" s="2"/>
      <c r="J430" s="2"/>
      <c r="K430" s="2"/>
      <c r="L430" s="2"/>
      <c r="M430" s="2"/>
      <c r="N430" s="2"/>
      <c r="O430" s="2"/>
      <c r="P430" s="2"/>
    </row>
    <row r="431" spans="1:16" x14ac:dyDescent="0.2">
      <c r="A431" s="2"/>
      <c r="B431" s="2"/>
      <c r="C431" s="2"/>
      <c r="D431" s="2"/>
      <c r="E431" s="2"/>
      <c r="F431" s="2"/>
      <c r="G431" s="2"/>
      <c r="H431" s="2"/>
      <c r="I431" s="2"/>
      <c r="J431" s="2"/>
      <c r="K431" s="2"/>
      <c r="L431" s="2"/>
      <c r="M431" s="2"/>
      <c r="N431" s="2"/>
      <c r="O431" s="2"/>
      <c r="P431" s="2"/>
    </row>
    <row r="432" spans="1:16" x14ac:dyDescent="0.2">
      <c r="A432" s="2"/>
      <c r="B432" s="2"/>
      <c r="C432" s="2"/>
      <c r="D432" s="2"/>
      <c r="E432" s="2"/>
      <c r="F432" s="2"/>
      <c r="G432" s="2"/>
      <c r="H432" s="2"/>
      <c r="I432" s="2"/>
      <c r="J432" s="2"/>
      <c r="K432" s="2"/>
      <c r="L432" s="2"/>
      <c r="M432" s="2"/>
      <c r="N432" s="2"/>
      <c r="O432" s="2"/>
      <c r="P432" s="2"/>
    </row>
    <row r="433" spans="1:16" x14ac:dyDescent="0.2">
      <c r="A433" s="2"/>
      <c r="B433" s="2"/>
      <c r="C433" s="2"/>
      <c r="D433" s="2"/>
      <c r="E433" s="2"/>
      <c r="F433" s="2"/>
      <c r="G433" s="2"/>
      <c r="H433" s="2"/>
      <c r="I433" s="2"/>
      <c r="J433" s="2"/>
      <c r="K433" s="2"/>
      <c r="L433" s="2"/>
      <c r="M433" s="2"/>
      <c r="N433" s="2"/>
      <c r="O433" s="2"/>
      <c r="P433" s="2"/>
    </row>
    <row r="434" spans="1:16" x14ac:dyDescent="0.2">
      <c r="A434" s="2"/>
      <c r="B434" s="2"/>
      <c r="C434" s="2"/>
      <c r="D434" s="2"/>
      <c r="E434" s="2"/>
      <c r="F434" s="2"/>
      <c r="G434" s="2"/>
      <c r="H434" s="2"/>
      <c r="I434" s="2"/>
      <c r="J434" s="2"/>
      <c r="K434" s="2"/>
      <c r="L434" s="2"/>
      <c r="M434" s="2"/>
      <c r="N434" s="2"/>
      <c r="O434" s="2"/>
      <c r="P434" s="2"/>
    </row>
    <row r="435" spans="1:16" x14ac:dyDescent="0.2">
      <c r="A435" s="2"/>
      <c r="B435" s="2"/>
      <c r="C435" s="2"/>
      <c r="D435" s="2"/>
      <c r="E435" s="2"/>
      <c r="F435" s="2"/>
      <c r="G435" s="2"/>
      <c r="H435" s="2"/>
      <c r="I435" s="2"/>
      <c r="J435" s="2"/>
      <c r="K435" s="2"/>
      <c r="L435" s="2"/>
      <c r="M435" s="2"/>
      <c r="N435" s="2"/>
      <c r="O435" s="2"/>
      <c r="P435" s="2"/>
    </row>
    <row r="436" spans="1:16" x14ac:dyDescent="0.2">
      <c r="A436" s="2"/>
      <c r="B436" s="2"/>
      <c r="C436" s="2"/>
      <c r="D436" s="2"/>
      <c r="E436" s="2"/>
      <c r="F436" s="2"/>
      <c r="G436" s="2"/>
      <c r="H436" s="2"/>
      <c r="I436" s="2"/>
      <c r="J436" s="2"/>
      <c r="K436" s="2"/>
      <c r="L436" s="2"/>
      <c r="M436" s="2"/>
      <c r="N436" s="2"/>
      <c r="O436" s="2"/>
      <c r="P436" s="2"/>
    </row>
    <row r="437" spans="1:16" x14ac:dyDescent="0.2">
      <c r="A437" s="2"/>
      <c r="B437" s="2"/>
      <c r="C437" s="2"/>
      <c r="D437" s="2"/>
      <c r="E437" s="2"/>
      <c r="F437" s="2"/>
      <c r="G437" s="2"/>
      <c r="H437" s="2"/>
      <c r="I437" s="2"/>
      <c r="J437" s="2"/>
      <c r="K437" s="2"/>
      <c r="L437" s="2"/>
      <c r="M437" s="2"/>
      <c r="N437" s="2"/>
      <c r="O437" s="2"/>
      <c r="P437" s="2"/>
    </row>
    <row r="438" spans="1:16" x14ac:dyDescent="0.2">
      <c r="A438" s="2"/>
      <c r="B438" s="2"/>
      <c r="C438" s="2"/>
      <c r="D438" s="2"/>
      <c r="E438" s="2"/>
      <c r="F438" s="2"/>
      <c r="G438" s="2"/>
      <c r="H438" s="2"/>
      <c r="I438" s="2"/>
      <c r="J438" s="2"/>
      <c r="K438" s="2"/>
      <c r="L438" s="2"/>
      <c r="M438" s="2"/>
      <c r="N438" s="2"/>
      <c r="O438" s="2"/>
      <c r="P438" s="2"/>
    </row>
    <row r="439" spans="1:16" x14ac:dyDescent="0.2">
      <c r="A439" s="2"/>
      <c r="B439" s="2"/>
      <c r="C439" s="2"/>
      <c r="D439" s="2"/>
      <c r="E439" s="2"/>
      <c r="F439" s="2"/>
      <c r="G439" s="2"/>
      <c r="H439" s="2"/>
      <c r="I439" s="2"/>
      <c r="J439" s="2"/>
      <c r="K439" s="2"/>
      <c r="L439" s="2"/>
      <c r="M439" s="2"/>
      <c r="N439" s="2"/>
      <c r="O439" s="2"/>
      <c r="P439" s="2"/>
    </row>
    <row r="440" spans="1:16" x14ac:dyDescent="0.2">
      <c r="A440" s="2"/>
      <c r="B440" s="2"/>
      <c r="C440" s="2"/>
      <c r="D440" s="2"/>
      <c r="E440" s="2"/>
      <c r="F440" s="2"/>
      <c r="G440" s="2"/>
      <c r="H440" s="2"/>
      <c r="I440" s="2"/>
      <c r="J440" s="2"/>
      <c r="K440" s="2"/>
      <c r="L440" s="2"/>
      <c r="M440" s="2"/>
      <c r="N440" s="2"/>
      <c r="O440" s="2"/>
      <c r="P440" s="2"/>
    </row>
    <row r="441" spans="1:16" x14ac:dyDescent="0.2">
      <c r="A441" s="2"/>
      <c r="B441" s="2"/>
      <c r="C441" s="2"/>
      <c r="D441" s="2"/>
      <c r="E441" s="2"/>
      <c r="F441" s="2"/>
      <c r="G441" s="2"/>
      <c r="H441" s="2"/>
      <c r="I441" s="2"/>
      <c r="J441" s="2"/>
      <c r="K441" s="2"/>
      <c r="L441" s="2"/>
      <c r="M441" s="2"/>
      <c r="N441" s="2"/>
      <c r="O441" s="2"/>
      <c r="P441" s="2"/>
    </row>
    <row r="442" spans="1:16" x14ac:dyDescent="0.2">
      <c r="A442" s="2"/>
      <c r="B442" s="2"/>
      <c r="C442" s="2"/>
      <c r="D442" s="2"/>
      <c r="E442" s="2"/>
      <c r="F442" s="2"/>
      <c r="G442" s="2"/>
      <c r="H442" s="2"/>
      <c r="I442" s="2"/>
      <c r="J442" s="2"/>
      <c r="K442" s="2"/>
      <c r="L442" s="2"/>
      <c r="M442" s="2"/>
      <c r="N442" s="2"/>
      <c r="O442" s="2"/>
      <c r="P442" s="2"/>
    </row>
    <row r="443" spans="1:16" x14ac:dyDescent="0.2">
      <c r="A443" s="2"/>
      <c r="B443" s="2"/>
      <c r="C443" s="2"/>
      <c r="D443" s="2"/>
      <c r="E443" s="2"/>
      <c r="F443" s="2"/>
      <c r="G443" s="2"/>
      <c r="H443" s="2"/>
      <c r="I443" s="2"/>
      <c r="J443" s="2"/>
      <c r="K443" s="2"/>
      <c r="L443" s="2"/>
      <c r="M443" s="2"/>
      <c r="N443" s="2"/>
      <c r="O443" s="2"/>
      <c r="P443" s="2"/>
    </row>
    <row r="444" spans="1:16" x14ac:dyDescent="0.2">
      <c r="A444" s="2"/>
      <c r="B444" s="2"/>
      <c r="C444" s="2"/>
      <c r="D444" s="2"/>
      <c r="E444" s="2"/>
      <c r="F444" s="2"/>
      <c r="G444" s="2"/>
      <c r="H444" s="2"/>
      <c r="I444" s="2"/>
      <c r="J444" s="2"/>
      <c r="K444" s="2"/>
      <c r="L444" s="2"/>
      <c r="M444" s="2"/>
      <c r="N444" s="2"/>
      <c r="O444" s="2"/>
      <c r="P444" s="2"/>
    </row>
    <row r="445" spans="1:16" x14ac:dyDescent="0.2">
      <c r="A445" s="2"/>
      <c r="B445" s="2"/>
      <c r="C445" s="2"/>
      <c r="D445" s="2"/>
      <c r="E445" s="2"/>
      <c r="F445" s="2"/>
      <c r="G445" s="2"/>
      <c r="H445" s="2"/>
      <c r="I445" s="2"/>
      <c r="J445" s="2"/>
      <c r="K445" s="2"/>
      <c r="L445" s="2"/>
      <c r="M445" s="2"/>
      <c r="N445" s="2"/>
      <c r="O445" s="2"/>
      <c r="P445" s="2"/>
    </row>
    <row r="446" spans="1:16" x14ac:dyDescent="0.2">
      <c r="A446" s="2"/>
      <c r="B446" s="2"/>
      <c r="C446" s="2"/>
      <c r="D446" s="2"/>
      <c r="E446" s="2"/>
      <c r="F446" s="2"/>
      <c r="G446" s="2"/>
      <c r="H446" s="2"/>
      <c r="I446" s="2"/>
      <c r="J446" s="2"/>
      <c r="K446" s="2"/>
      <c r="L446" s="2"/>
      <c r="M446" s="2"/>
      <c r="N446" s="2"/>
      <c r="O446" s="2"/>
      <c r="P446" s="2"/>
    </row>
    <row r="447" spans="1:16" x14ac:dyDescent="0.2">
      <c r="A447" s="2"/>
      <c r="B447" s="2"/>
      <c r="C447" s="2"/>
      <c r="D447" s="2"/>
      <c r="E447" s="2"/>
      <c r="F447" s="2"/>
      <c r="G447" s="2"/>
      <c r="H447" s="2"/>
      <c r="I447" s="2"/>
      <c r="J447" s="2"/>
      <c r="K447" s="2"/>
      <c r="L447" s="2"/>
      <c r="M447" s="2"/>
      <c r="N447" s="2"/>
      <c r="O447" s="2"/>
      <c r="P447" s="2"/>
    </row>
    <row r="448" spans="1:16" x14ac:dyDescent="0.2">
      <c r="A448" s="2"/>
      <c r="B448" s="2"/>
      <c r="C448" s="2"/>
      <c r="D448" s="2"/>
      <c r="E448" s="2"/>
      <c r="F448" s="2"/>
      <c r="G448" s="2"/>
      <c r="H448" s="2"/>
      <c r="I448" s="2"/>
      <c r="J448" s="2"/>
      <c r="K448" s="2"/>
      <c r="L448" s="2"/>
      <c r="M448" s="2"/>
      <c r="N448" s="2"/>
      <c r="O448" s="2"/>
      <c r="P448" s="2"/>
    </row>
    <row r="449" spans="1:16" x14ac:dyDescent="0.2">
      <c r="A449" s="2"/>
      <c r="B449" s="2"/>
      <c r="C449" s="2"/>
      <c r="D449" s="2"/>
      <c r="E449" s="2"/>
      <c r="F449" s="2"/>
      <c r="G449" s="2"/>
      <c r="H449" s="2"/>
      <c r="I449" s="2"/>
      <c r="J449" s="2"/>
      <c r="K449" s="2"/>
      <c r="L449" s="2"/>
      <c r="M449" s="2"/>
      <c r="N449" s="2"/>
      <c r="O449" s="2"/>
      <c r="P449" s="2"/>
    </row>
    <row r="450" spans="1:16" x14ac:dyDescent="0.2">
      <c r="A450" s="2"/>
      <c r="B450" s="2"/>
      <c r="C450" s="2"/>
      <c r="D450" s="2"/>
      <c r="E450" s="2"/>
      <c r="F450" s="2"/>
      <c r="G450" s="2"/>
      <c r="H450" s="2"/>
      <c r="I450" s="2"/>
      <c r="J450" s="2"/>
      <c r="K450" s="2"/>
      <c r="L450" s="2"/>
      <c r="M450" s="2"/>
      <c r="N450" s="2"/>
      <c r="O450" s="2"/>
      <c r="P450" s="2"/>
    </row>
    <row r="451" spans="1:16" x14ac:dyDescent="0.2">
      <c r="A451" s="2"/>
      <c r="B451" s="2"/>
      <c r="C451" s="2"/>
      <c r="D451" s="2"/>
      <c r="E451" s="2"/>
      <c r="F451" s="2"/>
      <c r="G451" s="2"/>
      <c r="H451" s="2"/>
      <c r="I451" s="2"/>
      <c r="J451" s="2"/>
      <c r="K451" s="2"/>
      <c r="L451" s="2"/>
      <c r="M451" s="2"/>
      <c r="N451" s="2"/>
      <c r="O451" s="2"/>
      <c r="P451" s="2"/>
    </row>
    <row r="452" spans="1:16" x14ac:dyDescent="0.2">
      <c r="A452" s="2"/>
      <c r="B452" s="2"/>
      <c r="C452" s="2"/>
      <c r="D452" s="2"/>
      <c r="E452" s="2"/>
      <c r="F452" s="2"/>
      <c r="G452" s="2"/>
      <c r="H452" s="2"/>
      <c r="I452" s="2"/>
      <c r="J452" s="2"/>
      <c r="K452" s="2"/>
      <c r="L452" s="2"/>
      <c r="M452" s="2"/>
      <c r="N452" s="2"/>
      <c r="O452" s="2"/>
      <c r="P452" s="2"/>
    </row>
    <row r="453" spans="1:16" x14ac:dyDescent="0.2">
      <c r="A453" s="2"/>
      <c r="B453" s="2"/>
      <c r="C453" s="2"/>
      <c r="D453" s="2"/>
      <c r="E453" s="2"/>
      <c r="F453" s="2"/>
      <c r="G453" s="2"/>
      <c r="H453" s="2"/>
      <c r="I453" s="2"/>
      <c r="J453" s="2"/>
      <c r="K453" s="2"/>
      <c r="L453" s="2"/>
      <c r="M453" s="2"/>
      <c r="N453" s="2"/>
      <c r="O453" s="2"/>
      <c r="P453" s="2"/>
    </row>
    <row r="454" spans="1:16" x14ac:dyDescent="0.2">
      <c r="A454" s="2"/>
      <c r="B454" s="2"/>
      <c r="C454" s="2"/>
      <c r="D454" s="2"/>
      <c r="E454" s="2"/>
      <c r="F454" s="2"/>
      <c r="G454" s="2"/>
      <c r="H454" s="2"/>
      <c r="I454" s="2"/>
      <c r="J454" s="2"/>
      <c r="K454" s="2"/>
      <c r="L454" s="2"/>
      <c r="M454" s="2"/>
      <c r="N454" s="2"/>
      <c r="O454" s="2"/>
      <c r="P454" s="2"/>
    </row>
    <row r="455" spans="1:16" x14ac:dyDescent="0.2">
      <c r="A455" s="2"/>
      <c r="B455" s="2"/>
      <c r="C455" s="2"/>
      <c r="D455" s="2"/>
      <c r="E455" s="2"/>
      <c r="F455" s="2"/>
      <c r="G455" s="2"/>
      <c r="H455" s="2"/>
      <c r="I455" s="2"/>
      <c r="J455" s="2"/>
      <c r="K455" s="2"/>
      <c r="L455" s="2"/>
      <c r="M455" s="2"/>
      <c r="N455" s="2"/>
      <c r="O455" s="2"/>
      <c r="P455" s="2"/>
    </row>
    <row r="456" spans="1:16" x14ac:dyDescent="0.2">
      <c r="A456" s="2"/>
      <c r="B456" s="2"/>
      <c r="C456" s="2"/>
      <c r="D456" s="2"/>
      <c r="E456" s="2"/>
      <c r="F456" s="2"/>
      <c r="G456" s="2"/>
      <c r="H456" s="2"/>
      <c r="I456" s="2"/>
      <c r="J456" s="2"/>
      <c r="K456" s="2"/>
      <c r="L456" s="2"/>
      <c r="M456" s="2"/>
      <c r="N456" s="2"/>
      <c r="O456" s="2"/>
      <c r="P456" s="2"/>
    </row>
    <row r="457" spans="1:16" x14ac:dyDescent="0.2">
      <c r="A457" s="2"/>
      <c r="B457" s="2"/>
      <c r="C457" s="2"/>
      <c r="D457" s="2"/>
      <c r="E457" s="2"/>
      <c r="F457" s="2"/>
      <c r="G457" s="2"/>
      <c r="H457" s="2"/>
      <c r="I457" s="2"/>
      <c r="J457" s="2"/>
      <c r="K457" s="2"/>
      <c r="L457" s="2"/>
      <c r="M457" s="2"/>
      <c r="N457" s="2"/>
      <c r="O457" s="2"/>
      <c r="P457" s="2"/>
    </row>
    <row r="458" spans="1:16" x14ac:dyDescent="0.2">
      <c r="A458" s="2"/>
      <c r="B458" s="2"/>
      <c r="C458" s="2"/>
      <c r="D458" s="2"/>
      <c r="E458" s="2"/>
      <c r="F458" s="2"/>
      <c r="G458" s="2"/>
      <c r="H458" s="2"/>
      <c r="I458" s="2"/>
      <c r="J458" s="2"/>
      <c r="K458" s="2"/>
      <c r="L458" s="2"/>
      <c r="M458" s="2"/>
      <c r="N458" s="2"/>
      <c r="O458" s="2"/>
      <c r="P458" s="2"/>
    </row>
    <row r="459" spans="1:16" x14ac:dyDescent="0.2">
      <c r="A459" s="2"/>
      <c r="B459" s="2"/>
      <c r="C459" s="2"/>
      <c r="D459" s="2"/>
      <c r="E459" s="2"/>
      <c r="F459" s="2"/>
      <c r="G459" s="2"/>
      <c r="H459" s="2"/>
      <c r="I459" s="2"/>
      <c r="J459" s="2"/>
      <c r="K459" s="2"/>
      <c r="L459" s="2"/>
      <c r="M459" s="2"/>
      <c r="N459" s="2"/>
      <c r="O459" s="2"/>
      <c r="P459" s="2"/>
    </row>
    <row r="460" spans="1:16" x14ac:dyDescent="0.2">
      <c r="A460" s="2"/>
      <c r="B460" s="2"/>
      <c r="C460" s="2"/>
      <c r="D460" s="2"/>
      <c r="E460" s="2"/>
      <c r="F460" s="2"/>
      <c r="G460" s="2"/>
      <c r="H460" s="2"/>
      <c r="I460" s="2"/>
      <c r="J460" s="2"/>
      <c r="K460" s="2"/>
      <c r="L460" s="2"/>
      <c r="M460" s="2"/>
      <c r="N460" s="2"/>
      <c r="O460" s="2"/>
      <c r="P460" s="2"/>
    </row>
    <row r="461" spans="1:16" x14ac:dyDescent="0.2">
      <c r="A461" s="2"/>
      <c r="B461" s="2"/>
      <c r="C461" s="2"/>
      <c r="D461" s="2"/>
      <c r="E461" s="2"/>
      <c r="F461" s="2"/>
      <c r="G461" s="2"/>
      <c r="H461" s="2"/>
      <c r="I461" s="2"/>
      <c r="J461" s="2"/>
      <c r="K461" s="2"/>
      <c r="L461" s="2"/>
      <c r="M461" s="2"/>
      <c r="N461" s="2"/>
      <c r="O461" s="2"/>
      <c r="P461" s="2"/>
    </row>
    <row r="462" spans="1:16" x14ac:dyDescent="0.2">
      <c r="A462" s="2"/>
      <c r="B462" s="2"/>
      <c r="C462" s="2"/>
      <c r="D462" s="2"/>
      <c r="E462" s="2"/>
      <c r="F462" s="2"/>
      <c r="G462" s="2"/>
      <c r="H462" s="2"/>
      <c r="I462" s="2"/>
      <c r="J462" s="2"/>
      <c r="K462" s="2"/>
      <c r="L462" s="2"/>
      <c r="M462" s="2"/>
      <c r="N462" s="2"/>
      <c r="O462" s="2"/>
      <c r="P462" s="2"/>
    </row>
    <row r="463" spans="1:16" x14ac:dyDescent="0.2">
      <c r="A463" s="2"/>
      <c r="B463" s="2"/>
      <c r="C463" s="2"/>
      <c r="D463" s="2"/>
      <c r="E463" s="2"/>
      <c r="F463" s="2"/>
      <c r="G463" s="2"/>
      <c r="H463" s="2"/>
      <c r="I463" s="2"/>
      <c r="J463" s="2"/>
      <c r="K463" s="2"/>
      <c r="L463" s="2"/>
      <c r="M463" s="2"/>
      <c r="N463" s="2"/>
      <c r="O463" s="2"/>
      <c r="P463" s="2"/>
    </row>
    <row r="464" spans="1:16" x14ac:dyDescent="0.2">
      <c r="A464" s="2"/>
      <c r="B464" s="2"/>
      <c r="C464" s="2"/>
      <c r="D464" s="2"/>
      <c r="E464" s="2"/>
      <c r="F464" s="2"/>
      <c r="G464" s="2"/>
      <c r="H464" s="2"/>
      <c r="I464" s="2"/>
      <c r="J464" s="2"/>
      <c r="K464" s="2"/>
      <c r="L464" s="2"/>
      <c r="M464" s="2"/>
      <c r="N464" s="2"/>
      <c r="O464" s="2"/>
      <c r="P464" s="2"/>
    </row>
    <row r="465" spans="1:16" x14ac:dyDescent="0.2">
      <c r="A465" s="2"/>
      <c r="B465" s="2"/>
      <c r="C465" s="2"/>
      <c r="D465" s="2"/>
      <c r="E465" s="2"/>
      <c r="F465" s="2"/>
      <c r="G465" s="2"/>
      <c r="H465" s="2"/>
      <c r="I465" s="2"/>
      <c r="J465" s="2"/>
      <c r="K465" s="2"/>
      <c r="L465" s="2"/>
      <c r="M465" s="2"/>
      <c r="N465" s="2"/>
      <c r="O465" s="2"/>
      <c r="P465" s="2"/>
    </row>
    <row r="466" spans="1:16" x14ac:dyDescent="0.2">
      <c r="A466" s="2"/>
      <c r="B466" s="2"/>
      <c r="C466" s="2"/>
      <c r="D466" s="2"/>
      <c r="E466" s="2"/>
      <c r="F466" s="2"/>
      <c r="G466" s="2"/>
      <c r="H466" s="2"/>
      <c r="I466" s="2"/>
      <c r="J466" s="2"/>
      <c r="K466" s="2"/>
      <c r="L466" s="2"/>
      <c r="M466" s="2"/>
      <c r="N466" s="2"/>
      <c r="O466" s="2"/>
      <c r="P466" s="2"/>
    </row>
    <row r="467" spans="1:16" x14ac:dyDescent="0.2">
      <c r="A467" s="2"/>
      <c r="B467" s="2"/>
      <c r="C467" s="2"/>
      <c r="D467" s="2"/>
      <c r="E467" s="2"/>
      <c r="F467" s="2"/>
      <c r="G467" s="2"/>
      <c r="H467" s="2"/>
      <c r="I467" s="2"/>
      <c r="J467" s="2"/>
      <c r="K467" s="2"/>
      <c r="L467" s="2"/>
      <c r="M467" s="2"/>
      <c r="N467" s="2"/>
      <c r="O467" s="2"/>
      <c r="P467" s="2"/>
    </row>
    <row r="468" spans="1:16" x14ac:dyDescent="0.2">
      <c r="A468" s="2"/>
      <c r="B468" s="2"/>
      <c r="C468" s="2"/>
      <c r="D468" s="2"/>
      <c r="E468" s="2"/>
      <c r="F468" s="2"/>
      <c r="G468" s="2"/>
      <c r="H468" s="2"/>
      <c r="I468" s="2"/>
      <c r="J468" s="2"/>
      <c r="K468" s="2"/>
      <c r="L468" s="2"/>
      <c r="M468" s="2"/>
      <c r="N468" s="2"/>
      <c r="O468" s="2"/>
      <c r="P468" s="2"/>
    </row>
    <row r="469" spans="1:16" x14ac:dyDescent="0.2">
      <c r="A469" s="2"/>
      <c r="B469" s="2"/>
      <c r="C469" s="2"/>
      <c r="D469" s="2"/>
      <c r="E469" s="2"/>
      <c r="F469" s="2"/>
      <c r="G469" s="2"/>
      <c r="H469" s="2"/>
      <c r="I469" s="2"/>
      <c r="J469" s="2"/>
      <c r="K469" s="2"/>
      <c r="L469" s="2"/>
      <c r="M469" s="2"/>
      <c r="N469" s="2"/>
      <c r="O469" s="2"/>
      <c r="P469" s="2"/>
    </row>
    <row r="470" spans="1:16" x14ac:dyDescent="0.2">
      <c r="A470" s="2"/>
      <c r="B470" s="2"/>
      <c r="C470" s="2"/>
      <c r="D470" s="2"/>
      <c r="E470" s="2"/>
      <c r="F470" s="2"/>
      <c r="G470" s="2"/>
      <c r="H470" s="2"/>
      <c r="I470" s="2"/>
      <c r="J470" s="2"/>
      <c r="K470" s="2"/>
      <c r="L470" s="2"/>
      <c r="M470" s="2"/>
      <c r="N470" s="2"/>
      <c r="O470" s="2"/>
      <c r="P470" s="2"/>
    </row>
    <row r="471" spans="1:16" x14ac:dyDescent="0.2">
      <c r="A471" s="2"/>
      <c r="B471" s="2"/>
      <c r="C471" s="2"/>
      <c r="D471" s="2"/>
      <c r="E471" s="2"/>
      <c r="F471" s="2"/>
      <c r="G471" s="2"/>
      <c r="H471" s="2"/>
      <c r="I471" s="2"/>
      <c r="J471" s="2"/>
      <c r="K471" s="2"/>
      <c r="L471" s="2"/>
      <c r="M471" s="2"/>
      <c r="N471" s="2"/>
      <c r="O471" s="2"/>
      <c r="P471" s="2"/>
    </row>
    <row r="472" spans="1:16" x14ac:dyDescent="0.2">
      <c r="A472" s="2"/>
      <c r="B472" s="2"/>
      <c r="C472" s="2"/>
      <c r="D472" s="2"/>
      <c r="E472" s="2"/>
      <c r="F472" s="2"/>
      <c r="G472" s="2"/>
      <c r="H472" s="2"/>
      <c r="I472" s="2"/>
      <c r="J472" s="2"/>
      <c r="K472" s="2"/>
      <c r="L472" s="2"/>
      <c r="M472" s="2"/>
      <c r="N472" s="2"/>
      <c r="O472" s="2"/>
      <c r="P472" s="2"/>
    </row>
    <row r="473" spans="1:16" x14ac:dyDescent="0.2">
      <c r="A473" s="2"/>
      <c r="B473" s="2"/>
      <c r="C473" s="2"/>
      <c r="D473" s="2"/>
      <c r="E473" s="2"/>
      <c r="F473" s="2"/>
      <c r="G473" s="2"/>
      <c r="H473" s="2"/>
      <c r="I473" s="2"/>
      <c r="J473" s="2"/>
      <c r="K473" s="2"/>
      <c r="L473" s="2"/>
      <c r="M473" s="2"/>
      <c r="N473" s="2"/>
      <c r="O473" s="2"/>
      <c r="P473" s="2"/>
    </row>
    <row r="474" spans="1:16" x14ac:dyDescent="0.2">
      <c r="A474" s="2"/>
      <c r="B474" s="2"/>
      <c r="C474" s="2"/>
      <c r="D474" s="2"/>
      <c r="E474" s="2"/>
      <c r="F474" s="2"/>
      <c r="G474" s="2"/>
      <c r="H474" s="2"/>
      <c r="I474" s="2"/>
      <c r="J474" s="2"/>
      <c r="K474" s="2"/>
      <c r="L474" s="2"/>
      <c r="M474" s="2"/>
      <c r="N474" s="2"/>
      <c r="O474" s="2"/>
      <c r="P474" s="2"/>
    </row>
    <row r="475" spans="1:16" x14ac:dyDescent="0.2">
      <c r="A475" s="2"/>
      <c r="B475" s="2"/>
      <c r="C475" s="2"/>
      <c r="D475" s="2"/>
      <c r="E475" s="2"/>
      <c r="F475" s="2"/>
      <c r="G475" s="2"/>
      <c r="H475" s="2"/>
      <c r="I475" s="2"/>
      <c r="J475" s="2"/>
      <c r="K475" s="2"/>
      <c r="L475" s="2"/>
      <c r="M475" s="2"/>
      <c r="N475" s="2"/>
      <c r="O475" s="2"/>
      <c r="P475" s="2"/>
    </row>
    <row r="476" spans="1:16" x14ac:dyDescent="0.2">
      <c r="A476" s="2"/>
      <c r="B476" s="2"/>
      <c r="C476" s="2"/>
      <c r="D476" s="2"/>
      <c r="E476" s="2"/>
      <c r="F476" s="2"/>
      <c r="G476" s="2"/>
      <c r="H476" s="2"/>
      <c r="I476" s="2"/>
      <c r="J476" s="2"/>
      <c r="K476" s="2"/>
      <c r="L476" s="2"/>
      <c r="M476" s="2"/>
      <c r="N476" s="2"/>
      <c r="O476" s="2"/>
      <c r="P476" s="2"/>
    </row>
    <row r="477" spans="1:16" x14ac:dyDescent="0.2">
      <c r="A477" s="2"/>
      <c r="B477" s="2"/>
      <c r="C477" s="2"/>
      <c r="D477" s="2"/>
      <c r="E477" s="2"/>
      <c r="F477" s="2"/>
      <c r="G477" s="2"/>
      <c r="H477" s="2"/>
      <c r="I477" s="2"/>
      <c r="J477" s="2"/>
      <c r="K477" s="2"/>
      <c r="L477" s="2"/>
      <c r="M477" s="2"/>
      <c r="N477" s="2"/>
      <c r="O477" s="2"/>
      <c r="P477" s="2"/>
    </row>
    <row r="478" spans="1:16" x14ac:dyDescent="0.2">
      <c r="A478" s="2"/>
      <c r="B478" s="2"/>
      <c r="C478" s="2"/>
      <c r="D478" s="2"/>
      <c r="E478" s="2"/>
      <c r="F478" s="2"/>
      <c r="G478" s="2"/>
      <c r="H478" s="2"/>
      <c r="I478" s="2"/>
      <c r="J478" s="2"/>
      <c r="K478" s="2"/>
      <c r="L478" s="2"/>
      <c r="M478" s="2"/>
      <c r="N478" s="2"/>
      <c r="O478" s="2"/>
      <c r="P478" s="2"/>
    </row>
    <row r="479" spans="1:16" x14ac:dyDescent="0.2">
      <c r="A479" s="2"/>
      <c r="B479" s="2"/>
      <c r="C479" s="2"/>
      <c r="D479" s="2"/>
      <c r="E479" s="2"/>
      <c r="F479" s="2"/>
      <c r="G479" s="2"/>
      <c r="H479" s="2"/>
      <c r="I479" s="2"/>
      <c r="J479" s="2"/>
      <c r="K479" s="2"/>
      <c r="L479" s="2"/>
      <c r="M479" s="2"/>
      <c r="N479" s="2"/>
      <c r="O479" s="2"/>
      <c r="P479" s="2"/>
    </row>
    <row r="480" spans="1:16" x14ac:dyDescent="0.2">
      <c r="A480" s="2"/>
      <c r="B480" s="2"/>
      <c r="C480" s="2"/>
      <c r="D480" s="2"/>
      <c r="E480" s="2"/>
      <c r="F480" s="2"/>
      <c r="G480" s="2"/>
      <c r="H480" s="2"/>
      <c r="I480" s="2"/>
      <c r="J480" s="2"/>
      <c r="K480" s="2"/>
      <c r="L480" s="2"/>
      <c r="M480" s="2"/>
      <c r="N480" s="2"/>
      <c r="O480" s="2"/>
      <c r="P480" s="2"/>
    </row>
    <row r="481" spans="1:16" x14ac:dyDescent="0.2">
      <c r="A481" s="2"/>
      <c r="B481" s="2"/>
      <c r="C481" s="2"/>
      <c r="D481" s="2"/>
      <c r="E481" s="2"/>
      <c r="F481" s="2"/>
      <c r="G481" s="2"/>
      <c r="H481" s="2"/>
      <c r="I481" s="2"/>
      <c r="J481" s="2"/>
      <c r="K481" s="2"/>
      <c r="L481" s="2"/>
      <c r="M481" s="2"/>
      <c r="N481" s="2"/>
      <c r="O481" s="2"/>
      <c r="P481" s="2"/>
    </row>
    <row r="482" spans="1:16" x14ac:dyDescent="0.2">
      <c r="A482" s="2"/>
      <c r="B482" s="2"/>
      <c r="C482" s="2"/>
      <c r="D482" s="2"/>
      <c r="E482" s="2"/>
      <c r="F482" s="2"/>
      <c r="G482" s="2"/>
      <c r="H482" s="2"/>
      <c r="I482" s="2"/>
      <c r="J482" s="2"/>
      <c r="K482" s="2"/>
      <c r="L482" s="2"/>
      <c r="M482" s="2"/>
      <c r="N482" s="2"/>
      <c r="O482" s="2"/>
      <c r="P482" s="2"/>
    </row>
    <row r="483" spans="1:16" x14ac:dyDescent="0.2">
      <c r="A483" s="2"/>
      <c r="B483" s="2"/>
      <c r="C483" s="2"/>
      <c r="D483" s="2"/>
      <c r="E483" s="2"/>
      <c r="F483" s="2"/>
      <c r="G483" s="2"/>
      <c r="H483" s="2"/>
      <c r="I483" s="2"/>
      <c r="J483" s="2"/>
      <c r="K483" s="2"/>
      <c r="L483" s="2"/>
      <c r="M483" s="2"/>
      <c r="N483" s="2"/>
      <c r="O483" s="2"/>
      <c r="P483" s="2"/>
    </row>
    <row r="484" spans="1:16" x14ac:dyDescent="0.2">
      <c r="A484" s="2"/>
      <c r="B484" s="2"/>
      <c r="C484" s="2"/>
      <c r="D484" s="2"/>
      <c r="E484" s="2"/>
      <c r="F484" s="2"/>
      <c r="G484" s="2"/>
      <c r="H484" s="2"/>
      <c r="I484" s="2"/>
      <c r="J484" s="2"/>
      <c r="K484" s="2"/>
      <c r="L484" s="2"/>
      <c r="M484" s="2"/>
      <c r="N484" s="2"/>
      <c r="O484" s="2"/>
      <c r="P484" s="2"/>
    </row>
    <row r="485" spans="1:16" x14ac:dyDescent="0.2">
      <c r="A485" s="2"/>
      <c r="B485" s="2"/>
      <c r="C485" s="2"/>
      <c r="D485" s="2"/>
      <c r="E485" s="2"/>
      <c r="F485" s="2"/>
      <c r="G485" s="2"/>
      <c r="H485" s="2"/>
      <c r="I485" s="2"/>
      <c r="J485" s="2"/>
      <c r="K485" s="2"/>
      <c r="L485" s="2"/>
      <c r="M485" s="2"/>
      <c r="N485" s="2"/>
      <c r="O485" s="2"/>
      <c r="P485" s="2"/>
    </row>
    <row r="486" spans="1:16" x14ac:dyDescent="0.2">
      <c r="A486" s="2"/>
      <c r="B486" s="2"/>
      <c r="C486" s="2"/>
      <c r="D486" s="2"/>
      <c r="E486" s="2"/>
      <c r="F486" s="2"/>
      <c r="G486" s="2"/>
      <c r="H486" s="2"/>
      <c r="I486" s="2"/>
      <c r="J486" s="2"/>
      <c r="K486" s="2"/>
      <c r="L486" s="2"/>
      <c r="M486" s="2"/>
      <c r="N486" s="2"/>
      <c r="O486" s="2"/>
      <c r="P486" s="2"/>
    </row>
    <row r="487" spans="1:16" x14ac:dyDescent="0.2">
      <c r="A487" s="2"/>
      <c r="B487" s="2"/>
      <c r="C487" s="2"/>
      <c r="D487" s="2"/>
      <c r="E487" s="2"/>
      <c r="F487" s="2"/>
      <c r="G487" s="2"/>
      <c r="H487" s="2"/>
      <c r="I487" s="2"/>
      <c r="J487" s="2"/>
      <c r="K487" s="2"/>
      <c r="L487" s="2"/>
      <c r="M487" s="2"/>
      <c r="N487" s="2"/>
      <c r="O487" s="2"/>
      <c r="P487" s="2"/>
    </row>
    <row r="488" spans="1:16" x14ac:dyDescent="0.2">
      <c r="A488" s="2"/>
      <c r="B488" s="2"/>
      <c r="C488" s="2"/>
      <c r="D488" s="2"/>
      <c r="E488" s="2"/>
      <c r="F488" s="2"/>
      <c r="G488" s="2"/>
      <c r="H488" s="2"/>
      <c r="I488" s="2"/>
      <c r="J488" s="2"/>
      <c r="K488" s="2"/>
      <c r="L488" s="2"/>
      <c r="M488" s="2"/>
      <c r="N488" s="2"/>
      <c r="O488" s="2"/>
      <c r="P488" s="2"/>
    </row>
    <row r="489" spans="1:16" x14ac:dyDescent="0.2">
      <c r="A489" s="2"/>
      <c r="B489" s="2"/>
      <c r="C489" s="2"/>
      <c r="D489" s="2"/>
      <c r="E489" s="2"/>
      <c r="F489" s="2"/>
      <c r="G489" s="2"/>
      <c r="H489" s="2"/>
      <c r="I489" s="2"/>
      <c r="J489" s="2"/>
      <c r="K489" s="2"/>
      <c r="L489" s="2"/>
      <c r="M489" s="2"/>
      <c r="N489" s="2"/>
      <c r="O489" s="2"/>
      <c r="P489" s="2"/>
    </row>
    <row r="490" spans="1:16" x14ac:dyDescent="0.2">
      <c r="A490" s="2"/>
      <c r="B490" s="2"/>
      <c r="C490" s="2"/>
      <c r="D490" s="2"/>
      <c r="E490" s="2"/>
      <c r="F490" s="2"/>
      <c r="G490" s="2"/>
      <c r="H490" s="2"/>
      <c r="I490" s="2"/>
      <c r="J490" s="2"/>
      <c r="K490" s="2"/>
      <c r="L490" s="2"/>
      <c r="M490" s="2"/>
      <c r="N490" s="2"/>
      <c r="O490" s="2"/>
      <c r="P490" s="2"/>
    </row>
    <row r="491" spans="1:16" x14ac:dyDescent="0.2">
      <c r="A491" s="2"/>
      <c r="B491" s="2"/>
      <c r="C491" s="2"/>
      <c r="D491" s="2"/>
      <c r="E491" s="2"/>
      <c r="F491" s="2"/>
      <c r="G491" s="2"/>
      <c r="H491" s="2"/>
      <c r="I491" s="2"/>
      <c r="J491" s="2"/>
      <c r="K491" s="2"/>
      <c r="L491" s="2"/>
      <c r="M491" s="2"/>
      <c r="N491" s="2"/>
      <c r="O491" s="2"/>
      <c r="P491" s="2"/>
    </row>
    <row r="492" spans="1:16" x14ac:dyDescent="0.2">
      <c r="A492" s="2"/>
      <c r="B492" s="2"/>
      <c r="C492" s="2"/>
      <c r="D492" s="2"/>
      <c r="E492" s="2"/>
      <c r="F492" s="2"/>
      <c r="G492" s="2"/>
      <c r="H492" s="2"/>
      <c r="I492" s="2"/>
      <c r="J492" s="2"/>
      <c r="K492" s="2"/>
      <c r="L492" s="2"/>
      <c r="M492" s="2"/>
      <c r="N492" s="2"/>
      <c r="O492" s="2"/>
      <c r="P492" s="2"/>
    </row>
    <row r="493" spans="1:16" x14ac:dyDescent="0.2">
      <c r="A493" s="2"/>
      <c r="B493" s="2"/>
      <c r="C493" s="2"/>
      <c r="D493" s="2"/>
      <c r="E493" s="2"/>
      <c r="F493" s="2"/>
      <c r="G493" s="2"/>
      <c r="H493" s="2"/>
      <c r="I493" s="2"/>
      <c r="J493" s="2"/>
      <c r="K493" s="2"/>
      <c r="L493" s="2"/>
      <c r="M493" s="2"/>
      <c r="N493" s="2"/>
      <c r="O493" s="2"/>
      <c r="P493" s="2"/>
    </row>
    <row r="494" spans="1:16" x14ac:dyDescent="0.2">
      <c r="A494" s="2"/>
      <c r="B494" s="2"/>
      <c r="C494" s="2"/>
      <c r="D494" s="2"/>
      <c r="E494" s="2"/>
      <c r="F494" s="2"/>
      <c r="G494" s="2"/>
      <c r="H494" s="2"/>
      <c r="I494" s="2"/>
      <c r="J494" s="2"/>
      <c r="K494" s="2"/>
      <c r="L494" s="2"/>
      <c r="M494" s="2"/>
      <c r="N494" s="2"/>
      <c r="O494" s="2"/>
      <c r="P494" s="2"/>
    </row>
    <row r="495" spans="1:16" x14ac:dyDescent="0.2">
      <c r="A495" s="2"/>
      <c r="B495" s="2"/>
      <c r="C495" s="2"/>
      <c r="D495" s="2"/>
      <c r="E495" s="2"/>
      <c r="F495" s="2"/>
      <c r="G495" s="2"/>
      <c r="H495" s="2"/>
      <c r="I495" s="2"/>
      <c r="J495" s="2"/>
      <c r="K495" s="2"/>
      <c r="L495" s="2"/>
      <c r="M495" s="2"/>
      <c r="N495" s="2"/>
      <c r="O495" s="2"/>
      <c r="P495" s="2"/>
    </row>
    <row r="496" spans="1:16" x14ac:dyDescent="0.2">
      <c r="A496" s="2"/>
      <c r="B496" s="2"/>
      <c r="C496" s="2"/>
      <c r="D496" s="2"/>
      <c r="E496" s="2"/>
      <c r="F496" s="2"/>
      <c r="G496" s="2"/>
      <c r="H496" s="2"/>
      <c r="I496" s="2"/>
      <c r="J496" s="2"/>
      <c r="K496" s="2"/>
      <c r="L496" s="2"/>
      <c r="M496" s="2"/>
      <c r="N496" s="2"/>
      <c r="O496" s="2"/>
      <c r="P496" s="2"/>
    </row>
    <row r="497" spans="1:16" x14ac:dyDescent="0.2">
      <c r="A497" s="2"/>
      <c r="B497" s="2"/>
      <c r="C497" s="2"/>
      <c r="D497" s="2"/>
      <c r="E497" s="2"/>
      <c r="F497" s="2"/>
      <c r="G497" s="2"/>
      <c r="H497" s="2"/>
      <c r="I497" s="2"/>
      <c r="J497" s="2"/>
      <c r="K497" s="2"/>
      <c r="L497" s="2"/>
      <c r="M497" s="2"/>
      <c r="N497" s="2"/>
      <c r="O497" s="2"/>
      <c r="P497" s="2"/>
    </row>
    <row r="498" spans="1:16" x14ac:dyDescent="0.2">
      <c r="A498" s="2"/>
      <c r="B498" s="2"/>
      <c r="C498" s="2"/>
      <c r="D498" s="2"/>
      <c r="E498" s="2"/>
      <c r="F498" s="2"/>
      <c r="G498" s="2"/>
      <c r="H498" s="2"/>
      <c r="I498" s="2"/>
      <c r="J498" s="2"/>
      <c r="K498" s="2"/>
      <c r="L498" s="2"/>
      <c r="M498" s="2"/>
      <c r="N498" s="2"/>
      <c r="O498" s="2"/>
      <c r="P498" s="2"/>
    </row>
    <row r="499" spans="1:16" x14ac:dyDescent="0.2">
      <c r="A499" s="2"/>
      <c r="B499" s="2"/>
      <c r="C499" s="2"/>
      <c r="D499" s="2"/>
      <c r="E499" s="2"/>
      <c r="F499" s="2"/>
      <c r="G499" s="2"/>
      <c r="H499" s="2"/>
      <c r="I499" s="2"/>
      <c r="J499" s="2"/>
      <c r="K499" s="2"/>
      <c r="L499" s="2"/>
      <c r="M499" s="2"/>
      <c r="N499" s="2"/>
      <c r="O499" s="2"/>
      <c r="P499" s="2"/>
    </row>
    <row r="500" spans="1:16" x14ac:dyDescent="0.2">
      <c r="A500" s="2"/>
      <c r="B500" s="2"/>
      <c r="C500" s="2"/>
      <c r="D500" s="2"/>
      <c r="E500" s="2"/>
      <c r="F500" s="2"/>
      <c r="G500" s="2"/>
      <c r="H500" s="2"/>
      <c r="I500" s="2"/>
      <c r="J500" s="2"/>
      <c r="K500" s="2"/>
      <c r="L500" s="2"/>
      <c r="M500" s="2"/>
      <c r="N500" s="2"/>
      <c r="O500" s="2"/>
      <c r="P500" s="2"/>
    </row>
    <row r="501" spans="1:16" x14ac:dyDescent="0.2">
      <c r="A501" s="2"/>
      <c r="B501" s="2"/>
      <c r="C501" s="2"/>
      <c r="D501" s="2"/>
      <c r="E501" s="2"/>
      <c r="F501" s="2"/>
      <c r="G501" s="2"/>
      <c r="H501" s="2"/>
      <c r="I501" s="2"/>
      <c r="J501" s="2"/>
      <c r="K501" s="2"/>
      <c r="L501" s="2"/>
      <c r="M501" s="2"/>
      <c r="N501" s="2"/>
      <c r="O501" s="2"/>
      <c r="P501" s="2"/>
    </row>
    <row r="502" spans="1:16" x14ac:dyDescent="0.2">
      <c r="A502" s="2"/>
      <c r="B502" s="2"/>
      <c r="C502" s="2"/>
      <c r="D502" s="2"/>
      <c r="E502" s="2"/>
      <c r="F502" s="2"/>
      <c r="G502" s="2"/>
      <c r="H502" s="2"/>
      <c r="I502" s="2"/>
      <c r="J502" s="2"/>
      <c r="K502" s="2"/>
      <c r="L502" s="2"/>
      <c r="M502" s="2"/>
      <c r="N502" s="2"/>
      <c r="O502" s="2"/>
      <c r="P502" s="2"/>
    </row>
    <row r="503" spans="1:16" x14ac:dyDescent="0.2">
      <c r="A503" s="2"/>
      <c r="B503" s="2"/>
      <c r="C503" s="2"/>
      <c r="D503" s="2"/>
      <c r="E503" s="2"/>
      <c r="F503" s="2"/>
      <c r="G503" s="2"/>
      <c r="H503" s="2"/>
      <c r="I503" s="2"/>
      <c r="J503" s="2"/>
      <c r="K503" s="2"/>
      <c r="L503" s="2"/>
      <c r="M503" s="2"/>
      <c r="N503" s="2"/>
      <c r="O503" s="2"/>
      <c r="P503" s="2"/>
    </row>
    <row r="504" spans="1:16" x14ac:dyDescent="0.2">
      <c r="A504" s="2"/>
      <c r="B504" s="2"/>
      <c r="C504" s="2"/>
      <c r="D504" s="2"/>
      <c r="E504" s="2"/>
      <c r="F504" s="2"/>
      <c r="G504" s="2"/>
      <c r="H504" s="2"/>
      <c r="I504" s="2"/>
      <c r="J504" s="2"/>
      <c r="K504" s="2"/>
      <c r="L504" s="2"/>
      <c r="M504" s="2"/>
      <c r="N504" s="2"/>
      <c r="O504" s="2"/>
      <c r="P504" s="2"/>
    </row>
    <row r="505" spans="1:16" x14ac:dyDescent="0.2">
      <c r="A505" s="2"/>
      <c r="B505" s="2"/>
      <c r="C505" s="2"/>
      <c r="D505" s="2"/>
      <c r="E505" s="2"/>
      <c r="F505" s="2"/>
      <c r="G505" s="2"/>
      <c r="H505" s="2"/>
      <c r="I505" s="2"/>
      <c r="J505" s="2"/>
      <c r="K505" s="2"/>
      <c r="L505" s="2"/>
      <c r="M505" s="2"/>
      <c r="N505" s="2"/>
      <c r="O505" s="2"/>
      <c r="P505" s="2"/>
    </row>
    <row r="506" spans="1:16" x14ac:dyDescent="0.2">
      <c r="A506" s="2"/>
      <c r="B506" s="2"/>
      <c r="C506" s="2"/>
      <c r="D506" s="2"/>
      <c r="E506" s="2"/>
      <c r="F506" s="2"/>
      <c r="G506" s="2"/>
      <c r="H506" s="2"/>
      <c r="I506" s="2"/>
      <c r="J506" s="2"/>
      <c r="K506" s="2"/>
      <c r="L506" s="2"/>
      <c r="M506" s="2"/>
      <c r="N506" s="2"/>
      <c r="O506" s="2"/>
      <c r="P506" s="2"/>
    </row>
    <row r="507" spans="1:16" x14ac:dyDescent="0.2">
      <c r="A507" s="2"/>
      <c r="B507" s="2"/>
      <c r="C507" s="2"/>
      <c r="D507" s="2"/>
      <c r="E507" s="2"/>
      <c r="F507" s="2"/>
      <c r="G507" s="2"/>
      <c r="H507" s="2"/>
      <c r="I507" s="2"/>
      <c r="J507" s="2"/>
      <c r="K507" s="2"/>
      <c r="L507" s="2"/>
      <c r="M507" s="2"/>
      <c r="N507" s="2"/>
      <c r="O507" s="2"/>
      <c r="P507" s="2"/>
    </row>
    <row r="508" spans="1:16" x14ac:dyDescent="0.2">
      <c r="A508" s="2"/>
      <c r="B508" s="2"/>
      <c r="C508" s="2"/>
      <c r="D508" s="2"/>
      <c r="E508" s="2"/>
      <c r="F508" s="2"/>
      <c r="G508" s="2"/>
      <c r="H508" s="2"/>
      <c r="I508" s="2"/>
      <c r="J508" s="2"/>
      <c r="K508" s="2"/>
      <c r="L508" s="2"/>
      <c r="M508" s="2"/>
      <c r="N508" s="2"/>
      <c r="O508" s="2"/>
      <c r="P508" s="2"/>
    </row>
    <row r="509" spans="1:16" x14ac:dyDescent="0.2">
      <c r="A509" s="2"/>
      <c r="B509" s="2"/>
      <c r="C509" s="2"/>
      <c r="D509" s="2"/>
      <c r="E509" s="2"/>
      <c r="F509" s="2"/>
      <c r="G509" s="2"/>
      <c r="H509" s="2"/>
      <c r="I509" s="2"/>
      <c r="J509" s="2"/>
      <c r="K509" s="2"/>
      <c r="L509" s="2"/>
      <c r="M509" s="2"/>
      <c r="N509" s="2"/>
      <c r="O509" s="2"/>
      <c r="P509" s="2"/>
    </row>
    <row r="510" spans="1:16" x14ac:dyDescent="0.2">
      <c r="A510" s="2"/>
      <c r="B510" s="2"/>
      <c r="C510" s="2"/>
      <c r="D510" s="2"/>
      <c r="E510" s="2"/>
      <c r="F510" s="2"/>
      <c r="G510" s="2"/>
      <c r="H510" s="2"/>
      <c r="I510" s="2"/>
      <c r="J510" s="2"/>
      <c r="K510" s="2"/>
      <c r="L510" s="2"/>
      <c r="M510" s="2"/>
      <c r="N510" s="2"/>
      <c r="O510" s="2"/>
      <c r="P510" s="2"/>
    </row>
    <row r="511" spans="1:16" x14ac:dyDescent="0.2">
      <c r="A511" s="2"/>
      <c r="B511" s="2"/>
      <c r="C511" s="2"/>
      <c r="D511" s="2"/>
      <c r="E511" s="2"/>
      <c r="F511" s="2"/>
      <c r="G511" s="2"/>
      <c r="H511" s="2"/>
      <c r="I511" s="2"/>
      <c r="J511" s="2"/>
      <c r="K511" s="2"/>
      <c r="L511" s="2"/>
      <c r="M511" s="2"/>
      <c r="N511" s="2"/>
      <c r="O511" s="2"/>
      <c r="P511" s="2"/>
    </row>
    <row r="512" spans="1:16" x14ac:dyDescent="0.2">
      <c r="A512" s="2"/>
      <c r="B512" s="2"/>
      <c r="C512" s="2"/>
      <c r="D512" s="2"/>
      <c r="E512" s="2"/>
      <c r="F512" s="2"/>
      <c r="G512" s="2"/>
      <c r="H512" s="2"/>
      <c r="I512" s="2"/>
      <c r="J512" s="2"/>
      <c r="K512" s="2"/>
      <c r="L512" s="2"/>
      <c r="M512" s="2"/>
      <c r="N512" s="2"/>
      <c r="O512" s="2"/>
      <c r="P512" s="2"/>
    </row>
    <row r="513" spans="1:16" x14ac:dyDescent="0.2">
      <c r="A513" s="2"/>
      <c r="B513" s="2"/>
      <c r="C513" s="2"/>
      <c r="D513" s="2"/>
      <c r="E513" s="2"/>
      <c r="F513" s="2"/>
      <c r="G513" s="2"/>
      <c r="H513" s="2"/>
      <c r="I513" s="2"/>
      <c r="J513" s="2"/>
      <c r="K513" s="2"/>
      <c r="L513" s="2"/>
      <c r="M513" s="2"/>
      <c r="N513" s="2"/>
      <c r="O513" s="2"/>
      <c r="P513" s="2"/>
    </row>
    <row r="514" spans="1:16" x14ac:dyDescent="0.2">
      <c r="A514" s="2"/>
      <c r="B514" s="2"/>
      <c r="C514" s="2"/>
      <c r="D514" s="2"/>
      <c r="E514" s="2"/>
      <c r="F514" s="2"/>
      <c r="G514" s="2"/>
      <c r="H514" s="2"/>
      <c r="I514" s="2"/>
      <c r="J514" s="2"/>
      <c r="K514" s="2"/>
      <c r="L514" s="2"/>
      <c r="M514" s="2"/>
      <c r="N514" s="2"/>
      <c r="O514" s="2"/>
      <c r="P514" s="2"/>
    </row>
    <row r="515" spans="1:16" x14ac:dyDescent="0.2">
      <c r="A515" s="2"/>
      <c r="B515" s="2"/>
      <c r="C515" s="2"/>
      <c r="D515" s="2"/>
      <c r="E515" s="2"/>
      <c r="F515" s="2"/>
      <c r="G515" s="2"/>
      <c r="H515" s="2"/>
      <c r="I515" s="2"/>
      <c r="J515" s="2"/>
      <c r="K515" s="2"/>
      <c r="L515" s="2"/>
      <c r="M515" s="2"/>
      <c r="N515" s="2"/>
      <c r="O515" s="2"/>
      <c r="P515" s="2"/>
    </row>
    <row r="516" spans="1:16" x14ac:dyDescent="0.2">
      <c r="A516" s="2"/>
      <c r="B516" s="2"/>
      <c r="C516" s="2"/>
      <c r="D516" s="2"/>
      <c r="E516" s="2"/>
      <c r="F516" s="2"/>
      <c r="G516" s="2"/>
      <c r="H516" s="2"/>
      <c r="I516" s="2"/>
      <c r="J516" s="2"/>
      <c r="K516" s="2"/>
      <c r="L516" s="2"/>
      <c r="M516" s="2"/>
      <c r="N516" s="2"/>
      <c r="O516" s="2"/>
      <c r="P516" s="2"/>
    </row>
    <row r="517" spans="1:16" x14ac:dyDescent="0.2">
      <c r="A517" s="2"/>
      <c r="B517" s="2"/>
      <c r="C517" s="2"/>
      <c r="D517" s="2"/>
      <c r="E517" s="2"/>
      <c r="F517" s="2"/>
      <c r="G517" s="2"/>
      <c r="H517" s="2"/>
      <c r="I517" s="2"/>
      <c r="J517" s="2"/>
      <c r="K517" s="2"/>
      <c r="L517" s="2"/>
      <c r="M517" s="2"/>
      <c r="N517" s="2"/>
      <c r="O517" s="2"/>
      <c r="P517" s="2"/>
    </row>
    <row r="518" spans="1:16" x14ac:dyDescent="0.2">
      <c r="A518" s="2"/>
      <c r="B518" s="2"/>
      <c r="C518" s="2"/>
      <c r="D518" s="2"/>
      <c r="E518" s="2"/>
      <c r="F518" s="2"/>
      <c r="G518" s="2"/>
      <c r="H518" s="2"/>
      <c r="I518" s="2"/>
      <c r="J518" s="2"/>
      <c r="K518" s="2"/>
      <c r="L518" s="2"/>
      <c r="M518" s="2"/>
      <c r="N518" s="2"/>
      <c r="O518" s="2"/>
      <c r="P518" s="2"/>
    </row>
    <row r="519" spans="1:16" x14ac:dyDescent="0.2">
      <c r="A519" s="2"/>
      <c r="B519" s="2"/>
      <c r="C519" s="2"/>
      <c r="D519" s="2"/>
      <c r="E519" s="2"/>
      <c r="F519" s="2"/>
      <c r="G519" s="2"/>
      <c r="H519" s="2"/>
      <c r="I519" s="2"/>
      <c r="J519" s="2"/>
      <c r="K519" s="2"/>
      <c r="L519" s="2"/>
      <c r="M519" s="2"/>
      <c r="N519" s="2"/>
      <c r="O519" s="2"/>
      <c r="P519" s="2"/>
    </row>
    <row r="520" spans="1:16" x14ac:dyDescent="0.2">
      <c r="A520" s="2"/>
      <c r="B520" s="2"/>
      <c r="C520" s="2"/>
      <c r="D520" s="2"/>
      <c r="E520" s="2"/>
      <c r="F520" s="2"/>
      <c r="G520" s="2"/>
      <c r="H520" s="2"/>
      <c r="I520" s="2"/>
      <c r="J520" s="2"/>
      <c r="K520" s="2"/>
      <c r="L520" s="2"/>
      <c r="M520" s="2"/>
      <c r="N520" s="2"/>
      <c r="O520" s="2"/>
      <c r="P520" s="2"/>
    </row>
    <row r="521" spans="1:16" x14ac:dyDescent="0.2">
      <c r="A521" s="2"/>
      <c r="B521" s="2"/>
      <c r="C521" s="2"/>
      <c r="D521" s="2"/>
      <c r="E521" s="2"/>
      <c r="F521" s="2"/>
      <c r="G521" s="2"/>
      <c r="H521" s="2"/>
      <c r="I521" s="2"/>
      <c r="J521" s="2"/>
      <c r="K521" s="2"/>
      <c r="L521" s="2"/>
      <c r="M521" s="2"/>
      <c r="N521" s="2"/>
      <c r="O521" s="2"/>
      <c r="P521" s="2"/>
    </row>
    <row r="522" spans="1:16" x14ac:dyDescent="0.2">
      <c r="A522" s="2"/>
      <c r="B522" s="2"/>
      <c r="C522" s="2"/>
      <c r="D522" s="2"/>
      <c r="E522" s="2"/>
      <c r="F522" s="2"/>
      <c r="G522" s="2"/>
      <c r="H522" s="2"/>
      <c r="I522" s="2"/>
      <c r="J522" s="2"/>
      <c r="K522" s="2"/>
      <c r="L522" s="2"/>
      <c r="M522" s="2"/>
      <c r="N522" s="2"/>
      <c r="O522" s="2"/>
      <c r="P522" s="2"/>
    </row>
    <row r="523" spans="1:16" x14ac:dyDescent="0.2">
      <c r="A523" s="2"/>
      <c r="B523" s="2"/>
      <c r="C523" s="2"/>
      <c r="D523" s="2"/>
      <c r="E523" s="2"/>
      <c r="F523" s="2"/>
      <c r="G523" s="2"/>
      <c r="H523" s="2"/>
      <c r="I523" s="2"/>
      <c r="J523" s="2"/>
      <c r="K523" s="2"/>
      <c r="L523" s="2"/>
      <c r="M523" s="2"/>
      <c r="N523" s="2"/>
      <c r="O523" s="2"/>
      <c r="P523" s="2"/>
    </row>
    <row r="524" spans="1:16" x14ac:dyDescent="0.2">
      <c r="A524" s="2"/>
      <c r="B524" s="2"/>
      <c r="C524" s="2"/>
      <c r="D524" s="2"/>
      <c r="E524" s="2"/>
      <c r="F524" s="2"/>
      <c r="G524" s="2"/>
      <c r="H524" s="2"/>
      <c r="I524" s="2"/>
      <c r="J524" s="2"/>
      <c r="K524" s="2"/>
      <c r="L524" s="2"/>
      <c r="M524" s="2"/>
      <c r="N524" s="2"/>
      <c r="O524" s="2"/>
      <c r="P524" s="2"/>
    </row>
    <row r="525" spans="1:16" x14ac:dyDescent="0.2">
      <c r="A525" s="2"/>
      <c r="B525" s="2"/>
      <c r="C525" s="2"/>
      <c r="D525" s="2"/>
      <c r="E525" s="2"/>
      <c r="F525" s="2"/>
      <c r="G525" s="2"/>
      <c r="H525" s="2"/>
      <c r="I525" s="2"/>
      <c r="J525" s="2"/>
      <c r="K525" s="2"/>
      <c r="L525" s="2"/>
      <c r="M525" s="2"/>
      <c r="N525" s="2"/>
      <c r="O525" s="2"/>
      <c r="P525" s="2"/>
    </row>
    <row r="526" spans="1:16" x14ac:dyDescent="0.2">
      <c r="A526" s="2"/>
      <c r="B526" s="2"/>
      <c r="C526" s="2"/>
      <c r="D526" s="2"/>
      <c r="E526" s="2"/>
      <c r="F526" s="2"/>
      <c r="G526" s="2"/>
      <c r="H526" s="2"/>
      <c r="I526" s="2"/>
      <c r="J526" s="2"/>
      <c r="K526" s="2"/>
      <c r="L526" s="2"/>
      <c r="M526" s="2"/>
      <c r="N526" s="2"/>
      <c r="O526" s="2"/>
      <c r="P526" s="2"/>
    </row>
  </sheetData>
  <phoneticPr fontId="0" type="noConversion"/>
  <pageMargins left="0.75" right="0.75" top="1" bottom="1" header="0.4921259845" footer="0.492125984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Stuurstang</vt:lpstr>
      <vt:lpstr>Bowden kabel</vt:lpstr>
      <vt:lpstr>P-P Kabels</vt:lpstr>
      <vt:lpstr>Info</vt:lpstr>
      <vt:lpstr>Calc_Tringle</vt:lpstr>
      <vt:lpstr>Calc_Gaine</vt:lpstr>
      <vt:lpstr>Calc_Cable</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Tarzan</dc:creator>
  <cp:lastModifiedBy>Rick</cp:lastModifiedBy>
  <dcterms:created xsi:type="dcterms:W3CDTF">2007-12-30T16:46:08Z</dcterms:created>
  <dcterms:modified xsi:type="dcterms:W3CDTF">2021-11-17T16:31:21Z</dcterms:modified>
</cp:coreProperties>
</file>